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Studium\Desktop\Hochschulpolitik allgemein\"/>
    </mc:Choice>
  </mc:AlternateContent>
  <xr:revisionPtr revIDLastSave="0" documentId="8_{557B4F9A-5F90-49AE-9E66-D8EB1809389A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Haushalt 2024" sheetId="1" r:id="rId1"/>
    <sheet name="Semesterticket 2023" sheetId="2" r:id="rId2"/>
    <sheet name="Vermögensübersicht" sheetId="3" r:id="rId3"/>
    <sheet name="Personalplanung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2" i="4" l="1"/>
  <c r="H31" i="4"/>
  <c r="H30" i="4"/>
  <c r="H29" i="4"/>
  <c r="E28" i="4"/>
  <c r="B24" i="4"/>
  <c r="E21" i="4"/>
  <c r="D21" i="4"/>
  <c r="E16" i="4"/>
  <c r="E15" i="4"/>
  <c r="E14" i="4"/>
  <c r="D14" i="4"/>
  <c r="E13" i="4"/>
  <c r="E12" i="4"/>
  <c r="D11" i="4"/>
  <c r="D19" i="4" s="1"/>
  <c r="E10" i="4"/>
  <c r="E9" i="4"/>
  <c r="E8" i="4"/>
  <c r="E7" i="4"/>
  <c r="E6" i="4"/>
  <c r="E5" i="4"/>
  <c r="E4" i="4"/>
  <c r="D4" i="4"/>
  <c r="E3" i="4"/>
  <c r="D3" i="4"/>
  <c r="I2" i="4"/>
  <c r="I6" i="4" s="1"/>
  <c r="E29" i="3"/>
  <c r="E25" i="3"/>
  <c r="F11" i="3"/>
  <c r="F21" i="3" s="1"/>
  <c r="F26" i="3" s="1"/>
  <c r="F32" i="3" s="1"/>
  <c r="E11" i="3"/>
  <c r="E21" i="3" s="1"/>
  <c r="E26" i="3" s="1"/>
  <c r="E32" i="3" s="1"/>
  <c r="E43" i="2"/>
  <c r="E42" i="2"/>
  <c r="F41" i="2"/>
  <c r="E41" i="2"/>
  <c r="D41" i="2"/>
  <c r="E40" i="2"/>
  <c r="E38" i="2"/>
  <c r="D38" i="2"/>
  <c r="F39" i="2" s="1"/>
  <c r="E39" i="2" s="1"/>
  <c r="D36" i="2"/>
  <c r="E35" i="2"/>
  <c r="E34" i="2"/>
  <c r="E33" i="2"/>
  <c r="E32" i="2"/>
  <c r="E30" i="2"/>
  <c r="E29" i="2"/>
  <c r="E28" i="2"/>
  <c r="E27" i="2"/>
  <c r="E26" i="2"/>
  <c r="F25" i="2"/>
  <c r="E25" i="2" s="1"/>
  <c r="E24" i="2"/>
  <c r="D24" i="2"/>
  <c r="F23" i="2"/>
  <c r="E23" i="2" s="1"/>
  <c r="E22" i="2"/>
  <c r="D22" i="2"/>
  <c r="E20" i="2"/>
  <c r="E18" i="2"/>
  <c r="E16" i="2"/>
  <c r="E15" i="2"/>
  <c r="E14" i="2"/>
  <c r="D14" i="2"/>
  <c r="F19" i="2" s="1"/>
  <c r="E19" i="2" s="1"/>
  <c r="E13" i="2"/>
  <c r="D12" i="2"/>
  <c r="E10" i="2"/>
  <c r="E9" i="2" s="1"/>
  <c r="F9" i="2"/>
  <c r="D9" i="2"/>
  <c r="V319" i="1"/>
  <c r="V317" i="1" s="1"/>
  <c r="V316" i="1" s="1"/>
  <c r="U319" i="1"/>
  <c r="M319" i="1"/>
  <c r="I319" i="1"/>
  <c r="E319" i="1"/>
  <c r="U318" i="1"/>
  <c r="M318" i="1"/>
  <c r="I318" i="1"/>
  <c r="E318" i="1"/>
  <c r="E317" i="1" s="1"/>
  <c r="E316" i="1" s="1"/>
  <c r="T317" i="1"/>
  <c r="T316" i="1" s="1"/>
  <c r="N317" i="1"/>
  <c r="L317" i="1"/>
  <c r="J317" i="1"/>
  <c r="H317" i="1"/>
  <c r="H316" i="1" s="1"/>
  <c r="F317" i="1"/>
  <c r="F316" i="1" s="1"/>
  <c r="D317" i="1"/>
  <c r="D316" i="1" s="1"/>
  <c r="N316" i="1"/>
  <c r="L316" i="1"/>
  <c r="J316" i="1"/>
  <c r="U315" i="1"/>
  <c r="M315" i="1"/>
  <c r="I315" i="1"/>
  <c r="E315" i="1"/>
  <c r="U314" i="1"/>
  <c r="M314" i="1"/>
  <c r="I314" i="1"/>
  <c r="E314" i="1"/>
  <c r="U313" i="1"/>
  <c r="U312" i="1" s="1"/>
  <c r="U311" i="1" s="1"/>
  <c r="M313" i="1"/>
  <c r="I313" i="1"/>
  <c r="E313" i="1"/>
  <c r="V312" i="1"/>
  <c r="T312" i="1"/>
  <c r="N312" i="1"/>
  <c r="N311" i="1" s="1"/>
  <c r="L312" i="1"/>
  <c r="L311" i="1" s="1"/>
  <c r="J312" i="1"/>
  <c r="J311" i="1" s="1"/>
  <c r="H312" i="1"/>
  <c r="F312" i="1"/>
  <c r="F311" i="1" s="1"/>
  <c r="D312" i="1"/>
  <c r="V311" i="1"/>
  <c r="T311" i="1"/>
  <c r="H311" i="1"/>
  <c r="D311" i="1"/>
  <c r="U310" i="1"/>
  <c r="M310" i="1"/>
  <c r="I310" i="1"/>
  <c r="E310" i="1"/>
  <c r="E309" i="1" s="1"/>
  <c r="V309" i="1"/>
  <c r="V224" i="1" s="1"/>
  <c r="U309" i="1"/>
  <c r="T309" i="1"/>
  <c r="N309" i="1"/>
  <c r="M309" i="1"/>
  <c r="L309" i="1"/>
  <c r="J309" i="1"/>
  <c r="I309" i="1"/>
  <c r="H309" i="1"/>
  <c r="F309" i="1"/>
  <c r="D309" i="1"/>
  <c r="U308" i="1"/>
  <c r="M308" i="1"/>
  <c r="I308" i="1"/>
  <c r="E308" i="1"/>
  <c r="U307" i="1"/>
  <c r="M307" i="1"/>
  <c r="I307" i="1"/>
  <c r="E307" i="1"/>
  <c r="U306" i="1"/>
  <c r="M306" i="1"/>
  <c r="I306" i="1"/>
  <c r="E306" i="1"/>
  <c r="U305" i="1"/>
  <c r="M305" i="1"/>
  <c r="I305" i="1"/>
  <c r="E305" i="1"/>
  <c r="U304" i="1"/>
  <c r="M304" i="1"/>
  <c r="I304" i="1"/>
  <c r="E304" i="1"/>
  <c r="U303" i="1"/>
  <c r="M303" i="1"/>
  <c r="I303" i="1"/>
  <c r="E303" i="1"/>
  <c r="U302" i="1"/>
  <c r="M302" i="1"/>
  <c r="I302" i="1"/>
  <c r="E302" i="1"/>
  <c r="U301" i="1"/>
  <c r="M301" i="1"/>
  <c r="I301" i="1"/>
  <c r="E301" i="1"/>
  <c r="U300" i="1"/>
  <c r="M300" i="1"/>
  <c r="I300" i="1"/>
  <c r="E300" i="1"/>
  <c r="U299" i="1"/>
  <c r="M299" i="1"/>
  <c r="I299" i="1"/>
  <c r="E299" i="1"/>
  <c r="U298" i="1"/>
  <c r="M298" i="1"/>
  <c r="I298" i="1"/>
  <c r="E298" i="1"/>
  <c r="U297" i="1"/>
  <c r="M297" i="1"/>
  <c r="I297" i="1"/>
  <c r="E297" i="1"/>
  <c r="U296" i="1"/>
  <c r="M296" i="1"/>
  <c r="I296" i="1"/>
  <c r="E296" i="1"/>
  <c r="U295" i="1"/>
  <c r="M295" i="1"/>
  <c r="I295" i="1"/>
  <c r="E295" i="1"/>
  <c r="V294" i="1"/>
  <c r="T294" i="1"/>
  <c r="N294" i="1"/>
  <c r="L294" i="1"/>
  <c r="J294" i="1"/>
  <c r="H294" i="1"/>
  <c r="F294" i="1"/>
  <c r="D294" i="1"/>
  <c r="U293" i="1"/>
  <c r="M293" i="1"/>
  <c r="I293" i="1"/>
  <c r="E293" i="1"/>
  <c r="U292" i="1"/>
  <c r="M292" i="1"/>
  <c r="I292" i="1"/>
  <c r="E292" i="1"/>
  <c r="U291" i="1"/>
  <c r="M291" i="1"/>
  <c r="I291" i="1"/>
  <c r="E291" i="1"/>
  <c r="U290" i="1"/>
  <c r="M290" i="1"/>
  <c r="I290" i="1"/>
  <c r="E290" i="1"/>
  <c r="U289" i="1"/>
  <c r="M289" i="1"/>
  <c r="I289" i="1"/>
  <c r="E289" i="1"/>
  <c r="U288" i="1"/>
  <c r="M288" i="1"/>
  <c r="I288" i="1"/>
  <c r="E288" i="1"/>
  <c r="U287" i="1"/>
  <c r="M287" i="1"/>
  <c r="I287" i="1"/>
  <c r="E287" i="1"/>
  <c r="U286" i="1"/>
  <c r="M286" i="1"/>
  <c r="I286" i="1"/>
  <c r="E286" i="1"/>
  <c r="U285" i="1"/>
  <c r="M285" i="1"/>
  <c r="I285" i="1"/>
  <c r="E285" i="1"/>
  <c r="U284" i="1"/>
  <c r="M284" i="1"/>
  <c r="I284" i="1"/>
  <c r="E284" i="1"/>
  <c r="U283" i="1"/>
  <c r="M283" i="1"/>
  <c r="I283" i="1"/>
  <c r="E283" i="1"/>
  <c r="U282" i="1"/>
  <c r="M282" i="1"/>
  <c r="I282" i="1"/>
  <c r="E282" i="1"/>
  <c r="U281" i="1"/>
  <c r="M281" i="1"/>
  <c r="I281" i="1"/>
  <c r="E281" i="1"/>
  <c r="U280" i="1"/>
  <c r="M280" i="1"/>
  <c r="I280" i="1"/>
  <c r="E280" i="1"/>
  <c r="U279" i="1"/>
  <c r="M279" i="1"/>
  <c r="I279" i="1"/>
  <c r="E279" i="1"/>
  <c r="U278" i="1"/>
  <c r="M278" i="1"/>
  <c r="I278" i="1"/>
  <c r="E278" i="1"/>
  <c r="U277" i="1"/>
  <c r="M277" i="1"/>
  <c r="I277" i="1"/>
  <c r="E277" i="1"/>
  <c r="U276" i="1"/>
  <c r="M276" i="1"/>
  <c r="I276" i="1"/>
  <c r="E276" i="1"/>
  <c r="U275" i="1"/>
  <c r="M275" i="1"/>
  <c r="I275" i="1"/>
  <c r="E275" i="1"/>
  <c r="U274" i="1"/>
  <c r="M274" i="1"/>
  <c r="I274" i="1"/>
  <c r="E274" i="1"/>
  <c r="U273" i="1"/>
  <c r="M273" i="1"/>
  <c r="I273" i="1"/>
  <c r="E273" i="1"/>
  <c r="U272" i="1"/>
  <c r="M272" i="1"/>
  <c r="I272" i="1"/>
  <c r="E272" i="1"/>
  <c r="U271" i="1"/>
  <c r="M271" i="1"/>
  <c r="I271" i="1"/>
  <c r="E271" i="1"/>
  <c r="U270" i="1"/>
  <c r="M270" i="1"/>
  <c r="I270" i="1"/>
  <c r="E270" i="1"/>
  <c r="U269" i="1"/>
  <c r="M269" i="1"/>
  <c r="I269" i="1"/>
  <c r="E269" i="1"/>
  <c r="U268" i="1"/>
  <c r="M268" i="1"/>
  <c r="I268" i="1"/>
  <c r="E268" i="1"/>
  <c r="U267" i="1"/>
  <c r="M267" i="1"/>
  <c r="I267" i="1"/>
  <c r="E267" i="1"/>
  <c r="U266" i="1"/>
  <c r="M266" i="1"/>
  <c r="I266" i="1"/>
  <c r="E266" i="1"/>
  <c r="U265" i="1"/>
  <c r="M265" i="1"/>
  <c r="I265" i="1"/>
  <c r="E265" i="1"/>
  <c r="U264" i="1"/>
  <c r="M264" i="1"/>
  <c r="I264" i="1"/>
  <c r="E264" i="1"/>
  <c r="U263" i="1"/>
  <c r="M263" i="1"/>
  <c r="I263" i="1"/>
  <c r="E263" i="1"/>
  <c r="U262" i="1"/>
  <c r="M262" i="1"/>
  <c r="I262" i="1"/>
  <c r="E262" i="1"/>
  <c r="U261" i="1"/>
  <c r="M261" i="1"/>
  <c r="I261" i="1"/>
  <c r="E261" i="1"/>
  <c r="U260" i="1"/>
  <c r="M260" i="1"/>
  <c r="I260" i="1"/>
  <c r="E260" i="1"/>
  <c r="U259" i="1"/>
  <c r="M259" i="1"/>
  <c r="I259" i="1"/>
  <c r="E259" i="1"/>
  <c r="U258" i="1"/>
  <c r="M258" i="1"/>
  <c r="I258" i="1"/>
  <c r="E258" i="1"/>
  <c r="U257" i="1"/>
  <c r="M257" i="1"/>
  <c r="I257" i="1"/>
  <c r="E257" i="1"/>
  <c r="U256" i="1"/>
  <c r="M256" i="1"/>
  <c r="I256" i="1"/>
  <c r="E256" i="1"/>
  <c r="U255" i="1"/>
  <c r="M255" i="1"/>
  <c r="I255" i="1"/>
  <c r="E255" i="1"/>
  <c r="U254" i="1"/>
  <c r="M254" i="1"/>
  <c r="I254" i="1"/>
  <c r="E254" i="1"/>
  <c r="U253" i="1"/>
  <c r="M253" i="1"/>
  <c r="I253" i="1"/>
  <c r="E253" i="1"/>
  <c r="U252" i="1"/>
  <c r="M252" i="1"/>
  <c r="I252" i="1"/>
  <c r="E252" i="1"/>
  <c r="U251" i="1"/>
  <c r="M251" i="1"/>
  <c r="I251" i="1"/>
  <c r="E251" i="1"/>
  <c r="U250" i="1"/>
  <c r="M250" i="1"/>
  <c r="I250" i="1"/>
  <c r="E250" i="1"/>
  <c r="U249" i="1"/>
  <c r="M249" i="1"/>
  <c r="I249" i="1"/>
  <c r="E249" i="1"/>
  <c r="U248" i="1"/>
  <c r="M248" i="1"/>
  <c r="I248" i="1"/>
  <c r="E248" i="1"/>
  <c r="U247" i="1"/>
  <c r="M247" i="1"/>
  <c r="I247" i="1"/>
  <c r="E247" i="1"/>
  <c r="U246" i="1"/>
  <c r="M246" i="1"/>
  <c r="I246" i="1"/>
  <c r="E246" i="1"/>
  <c r="U245" i="1"/>
  <c r="M245" i="1"/>
  <c r="I245" i="1"/>
  <c r="E245" i="1"/>
  <c r="U244" i="1"/>
  <c r="M244" i="1"/>
  <c r="I244" i="1"/>
  <c r="E244" i="1"/>
  <c r="U243" i="1"/>
  <c r="M243" i="1"/>
  <c r="I243" i="1"/>
  <c r="E243" i="1"/>
  <c r="U242" i="1"/>
  <c r="M242" i="1"/>
  <c r="I242" i="1"/>
  <c r="E242" i="1"/>
  <c r="U241" i="1"/>
  <c r="M241" i="1"/>
  <c r="I241" i="1"/>
  <c r="E241" i="1"/>
  <c r="U240" i="1"/>
  <c r="M240" i="1"/>
  <c r="I240" i="1"/>
  <c r="E240" i="1"/>
  <c r="U239" i="1"/>
  <c r="M239" i="1"/>
  <c r="I239" i="1"/>
  <c r="E239" i="1"/>
  <c r="U238" i="1"/>
  <c r="M238" i="1"/>
  <c r="I238" i="1"/>
  <c r="E238" i="1"/>
  <c r="U237" i="1"/>
  <c r="M237" i="1"/>
  <c r="I237" i="1"/>
  <c r="E237" i="1"/>
  <c r="U236" i="1"/>
  <c r="M236" i="1"/>
  <c r="I236" i="1"/>
  <c r="E236" i="1"/>
  <c r="U235" i="1"/>
  <c r="M235" i="1"/>
  <c r="I235" i="1"/>
  <c r="E235" i="1"/>
  <c r="U234" i="1"/>
  <c r="M234" i="1"/>
  <c r="I234" i="1"/>
  <c r="E234" i="1"/>
  <c r="U233" i="1"/>
  <c r="M233" i="1"/>
  <c r="I233" i="1"/>
  <c r="E233" i="1"/>
  <c r="U232" i="1"/>
  <c r="M232" i="1"/>
  <c r="I232" i="1"/>
  <c r="E232" i="1"/>
  <c r="U231" i="1"/>
  <c r="M231" i="1"/>
  <c r="I231" i="1"/>
  <c r="E231" i="1"/>
  <c r="U230" i="1"/>
  <c r="M230" i="1"/>
  <c r="I230" i="1"/>
  <c r="E230" i="1"/>
  <c r="U229" i="1"/>
  <c r="M229" i="1"/>
  <c r="I229" i="1"/>
  <c r="E229" i="1"/>
  <c r="U228" i="1"/>
  <c r="M228" i="1"/>
  <c r="I228" i="1"/>
  <c r="E228" i="1"/>
  <c r="U227" i="1"/>
  <c r="M227" i="1"/>
  <c r="I227" i="1"/>
  <c r="E227" i="1"/>
  <c r="U226" i="1"/>
  <c r="M226" i="1"/>
  <c r="I226" i="1"/>
  <c r="E226" i="1"/>
  <c r="E225" i="1" s="1"/>
  <c r="V225" i="1"/>
  <c r="T225" i="1"/>
  <c r="N225" i="1"/>
  <c r="L225" i="1"/>
  <c r="J225" i="1"/>
  <c r="H225" i="1"/>
  <c r="H224" i="1" s="1"/>
  <c r="F225" i="1"/>
  <c r="F224" i="1" s="1"/>
  <c r="D225" i="1"/>
  <c r="D224" i="1" s="1"/>
  <c r="U223" i="1"/>
  <c r="U222" i="1" s="1"/>
  <c r="M223" i="1"/>
  <c r="I223" i="1"/>
  <c r="E223" i="1"/>
  <c r="E222" i="1" s="1"/>
  <c r="V222" i="1"/>
  <c r="T222" i="1"/>
  <c r="N222" i="1"/>
  <c r="M222" i="1"/>
  <c r="L222" i="1"/>
  <c r="J222" i="1"/>
  <c r="I222" i="1"/>
  <c r="H222" i="1"/>
  <c r="F222" i="1"/>
  <c r="D222" i="1"/>
  <c r="U221" i="1"/>
  <c r="M221" i="1"/>
  <c r="I221" i="1"/>
  <c r="E221" i="1"/>
  <c r="E220" i="1" s="1"/>
  <c r="V220" i="1"/>
  <c r="U220" i="1"/>
  <c r="T220" i="1"/>
  <c r="N220" i="1"/>
  <c r="M220" i="1"/>
  <c r="L220" i="1"/>
  <c r="J220" i="1"/>
  <c r="I220" i="1"/>
  <c r="H220" i="1"/>
  <c r="F220" i="1"/>
  <c r="D220" i="1"/>
  <c r="U219" i="1"/>
  <c r="M219" i="1"/>
  <c r="I219" i="1"/>
  <c r="E219" i="1"/>
  <c r="U218" i="1"/>
  <c r="M218" i="1"/>
  <c r="I218" i="1"/>
  <c r="E218" i="1"/>
  <c r="U217" i="1"/>
  <c r="M217" i="1"/>
  <c r="L217" i="1"/>
  <c r="J217" i="1"/>
  <c r="J214" i="1" s="1"/>
  <c r="I217" i="1"/>
  <c r="E217" i="1"/>
  <c r="U216" i="1"/>
  <c r="U214" i="1" s="1"/>
  <c r="M216" i="1"/>
  <c r="I216" i="1"/>
  <c r="E216" i="1"/>
  <c r="U215" i="1"/>
  <c r="M215" i="1"/>
  <c r="I215" i="1"/>
  <c r="E215" i="1"/>
  <c r="V214" i="1"/>
  <c r="T214" i="1"/>
  <c r="N214" i="1"/>
  <c r="L214" i="1"/>
  <c r="H214" i="1"/>
  <c r="F214" i="1"/>
  <c r="D214" i="1"/>
  <c r="U213" i="1"/>
  <c r="M213" i="1"/>
  <c r="I213" i="1"/>
  <c r="E213" i="1"/>
  <c r="U212" i="1"/>
  <c r="M212" i="1"/>
  <c r="I212" i="1"/>
  <c r="I211" i="1" s="1"/>
  <c r="E212" i="1"/>
  <c r="V211" i="1"/>
  <c r="T211" i="1"/>
  <c r="N211" i="1"/>
  <c r="L211" i="1"/>
  <c r="J211" i="1"/>
  <c r="H211" i="1"/>
  <c r="F211" i="1"/>
  <c r="D211" i="1"/>
  <c r="U210" i="1"/>
  <c r="M210" i="1"/>
  <c r="I210" i="1"/>
  <c r="E210" i="1"/>
  <c r="U209" i="1"/>
  <c r="M209" i="1"/>
  <c r="I209" i="1"/>
  <c r="E209" i="1"/>
  <c r="U208" i="1"/>
  <c r="M208" i="1"/>
  <c r="I208" i="1"/>
  <c r="E208" i="1"/>
  <c r="U207" i="1"/>
  <c r="M207" i="1"/>
  <c r="I207" i="1"/>
  <c r="E207" i="1"/>
  <c r="U206" i="1"/>
  <c r="M206" i="1"/>
  <c r="I206" i="1"/>
  <c r="E206" i="1"/>
  <c r="V205" i="1"/>
  <c r="T205" i="1"/>
  <c r="N205" i="1"/>
  <c r="L205" i="1"/>
  <c r="J205" i="1"/>
  <c r="H205" i="1"/>
  <c r="F205" i="1"/>
  <c r="D205" i="1"/>
  <c r="U204" i="1"/>
  <c r="M204" i="1"/>
  <c r="I204" i="1"/>
  <c r="E204" i="1"/>
  <c r="U203" i="1"/>
  <c r="M203" i="1"/>
  <c r="I203" i="1"/>
  <c r="E203" i="1"/>
  <c r="U202" i="1"/>
  <c r="M202" i="1"/>
  <c r="I202" i="1"/>
  <c r="I200" i="1" s="1"/>
  <c r="E202" i="1"/>
  <c r="E200" i="1" s="1"/>
  <c r="U201" i="1"/>
  <c r="U200" i="1" s="1"/>
  <c r="M201" i="1"/>
  <c r="I201" i="1"/>
  <c r="E201" i="1"/>
  <c r="V200" i="1"/>
  <c r="T200" i="1"/>
  <c r="N200" i="1"/>
  <c r="L200" i="1"/>
  <c r="J200" i="1"/>
  <c r="H200" i="1"/>
  <c r="F200" i="1"/>
  <c r="D200" i="1"/>
  <c r="U199" i="1"/>
  <c r="M199" i="1"/>
  <c r="I199" i="1"/>
  <c r="E199" i="1"/>
  <c r="U198" i="1"/>
  <c r="M198" i="1"/>
  <c r="I198" i="1"/>
  <c r="E198" i="1"/>
  <c r="U197" i="1"/>
  <c r="M197" i="1"/>
  <c r="M196" i="1" s="1"/>
  <c r="I197" i="1"/>
  <c r="I196" i="1" s="1"/>
  <c r="E197" i="1"/>
  <c r="V196" i="1"/>
  <c r="T196" i="1"/>
  <c r="N196" i="1"/>
  <c r="L196" i="1"/>
  <c r="J196" i="1"/>
  <c r="H196" i="1"/>
  <c r="F196" i="1"/>
  <c r="D196" i="1"/>
  <c r="U195" i="1"/>
  <c r="M195" i="1"/>
  <c r="I195" i="1"/>
  <c r="E195" i="1"/>
  <c r="E194" i="1" s="1"/>
  <c r="V194" i="1"/>
  <c r="U194" i="1"/>
  <c r="T194" i="1"/>
  <c r="N194" i="1"/>
  <c r="M194" i="1"/>
  <c r="L194" i="1"/>
  <c r="J194" i="1"/>
  <c r="I194" i="1"/>
  <c r="H194" i="1"/>
  <c r="F194" i="1"/>
  <c r="D194" i="1"/>
  <c r="U193" i="1"/>
  <c r="M193" i="1"/>
  <c r="I193" i="1"/>
  <c r="E193" i="1"/>
  <c r="U192" i="1"/>
  <c r="M192" i="1"/>
  <c r="I192" i="1"/>
  <c r="E192" i="1"/>
  <c r="U191" i="1"/>
  <c r="M191" i="1"/>
  <c r="I191" i="1"/>
  <c r="E191" i="1"/>
  <c r="U190" i="1"/>
  <c r="M190" i="1"/>
  <c r="I190" i="1"/>
  <c r="E190" i="1"/>
  <c r="U189" i="1"/>
  <c r="M189" i="1"/>
  <c r="I189" i="1"/>
  <c r="I188" i="1" s="1"/>
  <c r="E189" i="1"/>
  <c r="V188" i="1"/>
  <c r="T188" i="1"/>
  <c r="N188" i="1"/>
  <c r="L188" i="1"/>
  <c r="J188" i="1"/>
  <c r="H188" i="1"/>
  <c r="F188" i="1"/>
  <c r="F187" i="1" s="1"/>
  <c r="D188" i="1"/>
  <c r="H187" i="1"/>
  <c r="U186" i="1"/>
  <c r="M186" i="1"/>
  <c r="I186" i="1"/>
  <c r="E186" i="1"/>
  <c r="U185" i="1"/>
  <c r="M185" i="1"/>
  <c r="I185" i="1"/>
  <c r="E185" i="1"/>
  <c r="U184" i="1"/>
  <c r="M184" i="1"/>
  <c r="I184" i="1"/>
  <c r="E184" i="1"/>
  <c r="U183" i="1"/>
  <c r="M183" i="1"/>
  <c r="I183" i="1"/>
  <c r="E183" i="1"/>
  <c r="U182" i="1"/>
  <c r="M182" i="1"/>
  <c r="I182" i="1"/>
  <c r="E182" i="1"/>
  <c r="U181" i="1"/>
  <c r="U180" i="1" s="1"/>
  <c r="M181" i="1"/>
  <c r="I181" i="1"/>
  <c r="I180" i="1" s="1"/>
  <c r="F181" i="1"/>
  <c r="E181" i="1" s="1"/>
  <c r="E180" i="1" s="1"/>
  <c r="V180" i="1"/>
  <c r="T180" i="1"/>
  <c r="N180" i="1"/>
  <c r="L180" i="1"/>
  <c r="J180" i="1"/>
  <c r="H180" i="1"/>
  <c r="H174" i="1" s="1"/>
  <c r="F180" i="1"/>
  <c r="D180" i="1"/>
  <c r="M179" i="1"/>
  <c r="I179" i="1"/>
  <c r="E179" i="1"/>
  <c r="V178" i="1"/>
  <c r="U178" i="1"/>
  <c r="M178" i="1"/>
  <c r="I178" i="1"/>
  <c r="E178" i="1"/>
  <c r="V177" i="1"/>
  <c r="U177" i="1" s="1"/>
  <c r="M177" i="1"/>
  <c r="I177" i="1"/>
  <c r="E177" i="1"/>
  <c r="V176" i="1"/>
  <c r="U176" i="1" s="1"/>
  <c r="U175" i="1" s="1"/>
  <c r="M176" i="1"/>
  <c r="J176" i="1"/>
  <c r="J175" i="1" s="1"/>
  <c r="F176" i="1"/>
  <c r="E176" i="1" s="1"/>
  <c r="T175" i="1"/>
  <c r="T174" i="1" s="1"/>
  <c r="N175" i="1"/>
  <c r="N174" i="1" s="1"/>
  <c r="L175" i="1"/>
  <c r="H175" i="1"/>
  <c r="D175" i="1"/>
  <c r="D174" i="1" s="1"/>
  <c r="U173" i="1"/>
  <c r="M173" i="1"/>
  <c r="I173" i="1"/>
  <c r="E173" i="1"/>
  <c r="U172" i="1"/>
  <c r="M172" i="1"/>
  <c r="I172" i="1"/>
  <c r="E172" i="1"/>
  <c r="V171" i="1"/>
  <c r="U171" i="1"/>
  <c r="T171" i="1"/>
  <c r="N171" i="1"/>
  <c r="M171" i="1"/>
  <c r="L171" i="1"/>
  <c r="J171" i="1"/>
  <c r="I171" i="1"/>
  <c r="H171" i="1"/>
  <c r="F171" i="1"/>
  <c r="E171" i="1"/>
  <c r="D171" i="1"/>
  <c r="U170" i="1"/>
  <c r="M170" i="1"/>
  <c r="I170" i="1"/>
  <c r="E170" i="1"/>
  <c r="U169" i="1"/>
  <c r="U168" i="1" s="1"/>
  <c r="M169" i="1"/>
  <c r="M168" i="1" s="1"/>
  <c r="I169" i="1"/>
  <c r="E169" i="1"/>
  <c r="V168" i="1"/>
  <c r="T168" i="1"/>
  <c r="N168" i="1"/>
  <c r="L168" i="1"/>
  <c r="J168" i="1"/>
  <c r="H168" i="1"/>
  <c r="F168" i="1"/>
  <c r="D168" i="1"/>
  <c r="U167" i="1"/>
  <c r="M167" i="1"/>
  <c r="I167" i="1"/>
  <c r="E167" i="1"/>
  <c r="U166" i="1"/>
  <c r="M166" i="1"/>
  <c r="I166" i="1"/>
  <c r="E166" i="1"/>
  <c r="U165" i="1"/>
  <c r="M165" i="1"/>
  <c r="I165" i="1"/>
  <c r="E165" i="1"/>
  <c r="U164" i="1"/>
  <c r="M164" i="1"/>
  <c r="I164" i="1"/>
  <c r="E164" i="1"/>
  <c r="U163" i="1"/>
  <c r="M163" i="1"/>
  <c r="I163" i="1"/>
  <c r="E163" i="1"/>
  <c r="U162" i="1"/>
  <c r="U160" i="1" s="1"/>
  <c r="M162" i="1"/>
  <c r="M160" i="1" s="1"/>
  <c r="I162" i="1"/>
  <c r="E162" i="1"/>
  <c r="E160" i="1" s="1"/>
  <c r="U161" i="1"/>
  <c r="M161" i="1"/>
  <c r="I161" i="1"/>
  <c r="E161" i="1"/>
  <c r="V160" i="1"/>
  <c r="T160" i="1"/>
  <c r="N160" i="1"/>
  <c r="L160" i="1"/>
  <c r="J160" i="1"/>
  <c r="H160" i="1"/>
  <c r="F160" i="1"/>
  <c r="D160" i="1"/>
  <c r="U159" i="1"/>
  <c r="M159" i="1"/>
  <c r="I159" i="1"/>
  <c r="E159" i="1"/>
  <c r="U158" i="1"/>
  <c r="M158" i="1"/>
  <c r="I158" i="1"/>
  <c r="E158" i="1"/>
  <c r="U157" i="1"/>
  <c r="M157" i="1"/>
  <c r="I157" i="1"/>
  <c r="E157" i="1"/>
  <c r="U156" i="1"/>
  <c r="M156" i="1"/>
  <c r="I156" i="1"/>
  <c r="E156" i="1"/>
  <c r="U155" i="1"/>
  <c r="M155" i="1"/>
  <c r="I155" i="1"/>
  <c r="E155" i="1"/>
  <c r="U154" i="1"/>
  <c r="M154" i="1"/>
  <c r="I154" i="1"/>
  <c r="E154" i="1"/>
  <c r="U153" i="1"/>
  <c r="M153" i="1"/>
  <c r="I153" i="1"/>
  <c r="I151" i="1" s="1"/>
  <c r="E153" i="1"/>
  <c r="U152" i="1"/>
  <c r="M152" i="1"/>
  <c r="I152" i="1"/>
  <c r="E152" i="1"/>
  <c r="V151" i="1"/>
  <c r="T151" i="1"/>
  <c r="N151" i="1"/>
  <c r="L151" i="1"/>
  <c r="J151" i="1"/>
  <c r="H151" i="1"/>
  <c r="F151" i="1"/>
  <c r="D151" i="1"/>
  <c r="U150" i="1"/>
  <c r="M150" i="1"/>
  <c r="I150" i="1"/>
  <c r="E150" i="1"/>
  <c r="U149" i="1"/>
  <c r="M149" i="1"/>
  <c r="I149" i="1"/>
  <c r="E149" i="1"/>
  <c r="U148" i="1"/>
  <c r="M148" i="1"/>
  <c r="I148" i="1"/>
  <c r="E148" i="1"/>
  <c r="U147" i="1"/>
  <c r="M147" i="1"/>
  <c r="I147" i="1"/>
  <c r="E147" i="1"/>
  <c r="E145" i="1" s="1"/>
  <c r="U146" i="1"/>
  <c r="M146" i="1"/>
  <c r="I146" i="1"/>
  <c r="I145" i="1" s="1"/>
  <c r="E146" i="1"/>
  <c r="V145" i="1"/>
  <c r="T145" i="1"/>
  <c r="N145" i="1"/>
  <c r="L145" i="1"/>
  <c r="J145" i="1"/>
  <c r="H145" i="1"/>
  <c r="F145" i="1"/>
  <c r="D145" i="1"/>
  <c r="V144" i="1"/>
  <c r="U144" i="1" s="1"/>
  <c r="M144" i="1"/>
  <c r="I144" i="1"/>
  <c r="E144" i="1"/>
  <c r="U143" i="1"/>
  <c r="M143" i="1"/>
  <c r="I143" i="1"/>
  <c r="E143" i="1"/>
  <c r="U142" i="1"/>
  <c r="M142" i="1"/>
  <c r="I142" i="1"/>
  <c r="E142" i="1"/>
  <c r="U141" i="1"/>
  <c r="M141" i="1"/>
  <c r="I141" i="1"/>
  <c r="E141" i="1"/>
  <c r="U140" i="1"/>
  <c r="M140" i="1"/>
  <c r="I140" i="1"/>
  <c r="E140" i="1"/>
  <c r="T139" i="1"/>
  <c r="T136" i="1" s="1"/>
  <c r="T129" i="1" s="1"/>
  <c r="M139" i="1"/>
  <c r="I139" i="1"/>
  <c r="E139" i="1"/>
  <c r="U138" i="1"/>
  <c r="M138" i="1"/>
  <c r="I138" i="1"/>
  <c r="E138" i="1"/>
  <c r="U137" i="1"/>
  <c r="T137" i="1"/>
  <c r="M137" i="1"/>
  <c r="I137" i="1"/>
  <c r="E137" i="1"/>
  <c r="V136" i="1"/>
  <c r="N136" i="1"/>
  <c r="L136" i="1"/>
  <c r="J136" i="1"/>
  <c r="H136" i="1"/>
  <c r="F136" i="1"/>
  <c r="D136" i="1"/>
  <c r="V135" i="1"/>
  <c r="U135" i="1" s="1"/>
  <c r="N135" i="1"/>
  <c r="M135" i="1" s="1"/>
  <c r="J135" i="1"/>
  <c r="I135" i="1" s="1"/>
  <c r="F135" i="1"/>
  <c r="E135" i="1" s="1"/>
  <c r="U134" i="1"/>
  <c r="M134" i="1"/>
  <c r="I134" i="1"/>
  <c r="E134" i="1"/>
  <c r="V133" i="1"/>
  <c r="T133" i="1"/>
  <c r="L133" i="1"/>
  <c r="H133" i="1"/>
  <c r="F133" i="1"/>
  <c r="D133" i="1"/>
  <c r="V132" i="1"/>
  <c r="U132" i="1" s="1"/>
  <c r="N132" i="1"/>
  <c r="M132" i="1" s="1"/>
  <c r="J132" i="1"/>
  <c r="I132" i="1" s="1"/>
  <c r="F132" i="1"/>
  <c r="E132" i="1" s="1"/>
  <c r="U131" i="1"/>
  <c r="M131" i="1"/>
  <c r="I131" i="1"/>
  <c r="I130" i="1" s="1"/>
  <c r="E131" i="1"/>
  <c r="E130" i="1" s="1"/>
  <c r="V130" i="1"/>
  <c r="T130" i="1"/>
  <c r="L130" i="1"/>
  <c r="H130" i="1"/>
  <c r="F130" i="1"/>
  <c r="D130" i="1"/>
  <c r="D129" i="1" s="1"/>
  <c r="V129" i="1"/>
  <c r="U128" i="1"/>
  <c r="U127" i="1" s="1"/>
  <c r="M128" i="1"/>
  <c r="M127" i="1" s="1"/>
  <c r="I128" i="1"/>
  <c r="E128" i="1"/>
  <c r="V127" i="1"/>
  <c r="T127" i="1"/>
  <c r="T122" i="1" s="1"/>
  <c r="N127" i="1"/>
  <c r="L127" i="1"/>
  <c r="L122" i="1" s="1"/>
  <c r="J127" i="1"/>
  <c r="I127" i="1"/>
  <c r="H127" i="1"/>
  <c r="F127" i="1"/>
  <c r="E127" i="1"/>
  <c r="D127" i="1"/>
  <c r="V125" i="1"/>
  <c r="U125" i="1" s="1"/>
  <c r="N125" i="1"/>
  <c r="M125" i="1" s="1"/>
  <c r="J125" i="1"/>
  <c r="I125" i="1" s="1"/>
  <c r="F125" i="1"/>
  <c r="E125" i="1" s="1"/>
  <c r="E123" i="1" s="1"/>
  <c r="E122" i="1" s="1"/>
  <c r="U124" i="1"/>
  <c r="M124" i="1"/>
  <c r="I124" i="1"/>
  <c r="E124" i="1"/>
  <c r="T123" i="1"/>
  <c r="L123" i="1"/>
  <c r="H123" i="1"/>
  <c r="H122" i="1" s="1"/>
  <c r="F123" i="1"/>
  <c r="F122" i="1" s="1"/>
  <c r="D123" i="1"/>
  <c r="D122" i="1" s="1"/>
  <c r="U121" i="1"/>
  <c r="M121" i="1"/>
  <c r="I121" i="1"/>
  <c r="E121" i="1"/>
  <c r="U120" i="1"/>
  <c r="M120" i="1"/>
  <c r="I120" i="1"/>
  <c r="E120" i="1"/>
  <c r="V119" i="1"/>
  <c r="U119" i="1" s="1"/>
  <c r="N119" i="1"/>
  <c r="M119" i="1" s="1"/>
  <c r="J119" i="1"/>
  <c r="I119" i="1" s="1"/>
  <c r="T118" i="1"/>
  <c r="U118" i="1" s="1"/>
  <c r="L118" i="1"/>
  <c r="M118" i="1" s="1"/>
  <c r="H118" i="1"/>
  <c r="H111" i="1" s="1"/>
  <c r="D118" i="1"/>
  <c r="F119" i="1" s="1"/>
  <c r="E119" i="1" s="1"/>
  <c r="I117" i="1"/>
  <c r="I116" i="1"/>
  <c r="D116" i="1"/>
  <c r="F117" i="1" s="1"/>
  <c r="E117" i="1" s="1"/>
  <c r="U115" i="1"/>
  <c r="M115" i="1"/>
  <c r="I115" i="1"/>
  <c r="U114" i="1"/>
  <c r="M114" i="1"/>
  <c r="I114" i="1"/>
  <c r="D114" i="1"/>
  <c r="F115" i="1" s="1"/>
  <c r="U113" i="1"/>
  <c r="M113" i="1"/>
  <c r="I113" i="1"/>
  <c r="E113" i="1"/>
  <c r="U112" i="1"/>
  <c r="M112" i="1"/>
  <c r="I112" i="1"/>
  <c r="E112" i="1"/>
  <c r="U110" i="1"/>
  <c r="M110" i="1"/>
  <c r="I110" i="1"/>
  <c r="E110" i="1"/>
  <c r="U109" i="1"/>
  <c r="M109" i="1"/>
  <c r="I109" i="1"/>
  <c r="E109" i="1"/>
  <c r="V108" i="1"/>
  <c r="U108" i="1"/>
  <c r="N108" i="1"/>
  <c r="M108" i="1"/>
  <c r="J108" i="1"/>
  <c r="I108" i="1" s="1"/>
  <c r="F108" i="1"/>
  <c r="E108" i="1" s="1"/>
  <c r="U107" i="1"/>
  <c r="T107" i="1"/>
  <c r="L107" i="1"/>
  <c r="M107" i="1" s="1"/>
  <c r="H107" i="1"/>
  <c r="I107" i="1" s="1"/>
  <c r="D107" i="1"/>
  <c r="E107" i="1" s="1"/>
  <c r="V106" i="1"/>
  <c r="U106" i="1" s="1"/>
  <c r="N106" i="1"/>
  <c r="M106" i="1" s="1"/>
  <c r="J106" i="1"/>
  <c r="I106" i="1" s="1"/>
  <c r="F106" i="1"/>
  <c r="E106" i="1" s="1"/>
  <c r="T105" i="1"/>
  <c r="U105" i="1" s="1"/>
  <c r="L105" i="1"/>
  <c r="L100" i="1" s="1"/>
  <c r="H105" i="1"/>
  <c r="H100" i="1" s="1"/>
  <c r="D105" i="1"/>
  <c r="D100" i="1" s="1"/>
  <c r="U104" i="1"/>
  <c r="M104" i="1"/>
  <c r="I104" i="1"/>
  <c r="E104" i="1"/>
  <c r="U103" i="1"/>
  <c r="M103" i="1"/>
  <c r="I103" i="1"/>
  <c r="E103" i="1"/>
  <c r="U102" i="1"/>
  <c r="M102" i="1"/>
  <c r="I102" i="1"/>
  <c r="E102" i="1"/>
  <c r="U101" i="1"/>
  <c r="M101" i="1"/>
  <c r="I101" i="1"/>
  <c r="E101" i="1"/>
  <c r="T100" i="1"/>
  <c r="U99" i="1"/>
  <c r="M99" i="1"/>
  <c r="I99" i="1"/>
  <c r="E99" i="1"/>
  <c r="U98" i="1"/>
  <c r="M98" i="1"/>
  <c r="I98" i="1"/>
  <c r="E98" i="1"/>
  <c r="U97" i="1"/>
  <c r="M97" i="1"/>
  <c r="I97" i="1"/>
  <c r="E97" i="1"/>
  <c r="T96" i="1"/>
  <c r="U96" i="1" s="1"/>
  <c r="L96" i="1"/>
  <c r="M96" i="1" s="1"/>
  <c r="I96" i="1"/>
  <c r="H96" i="1"/>
  <c r="D96" i="1"/>
  <c r="E96" i="1" s="1"/>
  <c r="V95" i="1"/>
  <c r="U95" i="1" s="1"/>
  <c r="N95" i="1"/>
  <c r="M95" i="1" s="1"/>
  <c r="J95" i="1"/>
  <c r="I95" i="1"/>
  <c r="F95" i="1"/>
  <c r="E95" i="1" s="1"/>
  <c r="T94" i="1"/>
  <c r="L94" i="1"/>
  <c r="H94" i="1"/>
  <c r="I94" i="1" s="1"/>
  <c r="E94" i="1"/>
  <c r="D94" i="1"/>
  <c r="U93" i="1"/>
  <c r="M93" i="1"/>
  <c r="I93" i="1"/>
  <c r="E93" i="1"/>
  <c r="U92" i="1"/>
  <c r="M92" i="1"/>
  <c r="I92" i="1"/>
  <c r="E92" i="1"/>
  <c r="U91" i="1"/>
  <c r="M91" i="1"/>
  <c r="I91" i="1"/>
  <c r="E91" i="1"/>
  <c r="V90" i="1"/>
  <c r="V89" i="1" s="1"/>
  <c r="U90" i="1"/>
  <c r="N90" i="1"/>
  <c r="N89" i="1" s="1"/>
  <c r="J90" i="1"/>
  <c r="I90" i="1" s="1"/>
  <c r="F90" i="1"/>
  <c r="E90" i="1" s="1"/>
  <c r="D89" i="1"/>
  <c r="U88" i="1"/>
  <c r="M88" i="1"/>
  <c r="I88" i="1"/>
  <c r="E88" i="1"/>
  <c r="U87" i="1"/>
  <c r="M87" i="1"/>
  <c r="I87" i="1"/>
  <c r="E87" i="1"/>
  <c r="V86" i="1"/>
  <c r="U86" i="1" s="1"/>
  <c r="N86" i="1"/>
  <c r="M86" i="1" s="1"/>
  <c r="J86" i="1"/>
  <c r="I86" i="1" s="1"/>
  <c r="F86" i="1"/>
  <c r="E86" i="1" s="1"/>
  <c r="T85" i="1"/>
  <c r="U85" i="1" s="1"/>
  <c r="L85" i="1"/>
  <c r="M85" i="1" s="1"/>
  <c r="H85" i="1"/>
  <c r="H78" i="1" s="1"/>
  <c r="E85" i="1"/>
  <c r="D85" i="1"/>
  <c r="V84" i="1"/>
  <c r="U84" i="1" s="1"/>
  <c r="N84" i="1"/>
  <c r="M84" i="1" s="1"/>
  <c r="J84" i="1"/>
  <c r="I84" i="1"/>
  <c r="F84" i="1"/>
  <c r="E84" i="1"/>
  <c r="U83" i="1"/>
  <c r="T83" i="1"/>
  <c r="L83" i="1"/>
  <c r="H83" i="1"/>
  <c r="I83" i="1" s="1"/>
  <c r="D83" i="1"/>
  <c r="E83" i="1" s="1"/>
  <c r="U82" i="1"/>
  <c r="M82" i="1"/>
  <c r="I82" i="1"/>
  <c r="E82" i="1"/>
  <c r="U81" i="1"/>
  <c r="M81" i="1"/>
  <c r="I81" i="1"/>
  <c r="E81" i="1"/>
  <c r="M80" i="1"/>
  <c r="I80" i="1"/>
  <c r="E80" i="1"/>
  <c r="T79" i="1"/>
  <c r="M79" i="1"/>
  <c r="I79" i="1"/>
  <c r="E79" i="1"/>
  <c r="F78" i="1"/>
  <c r="D78" i="1"/>
  <c r="U77" i="1"/>
  <c r="M77" i="1"/>
  <c r="I77" i="1"/>
  <c r="E77" i="1"/>
  <c r="U76" i="1"/>
  <c r="M76" i="1"/>
  <c r="I76" i="1"/>
  <c r="E76" i="1"/>
  <c r="U75" i="1"/>
  <c r="M75" i="1"/>
  <c r="I75" i="1"/>
  <c r="E75" i="1"/>
  <c r="U74" i="1"/>
  <c r="M74" i="1"/>
  <c r="I74" i="1"/>
  <c r="E74" i="1"/>
  <c r="U73" i="1"/>
  <c r="M73" i="1"/>
  <c r="I73" i="1"/>
  <c r="E73" i="1"/>
  <c r="U72" i="1"/>
  <c r="M72" i="1"/>
  <c r="I72" i="1"/>
  <c r="E72" i="1"/>
  <c r="U71" i="1"/>
  <c r="M71" i="1"/>
  <c r="I71" i="1"/>
  <c r="E71" i="1"/>
  <c r="U70" i="1"/>
  <c r="M70" i="1"/>
  <c r="I70" i="1"/>
  <c r="E70" i="1"/>
  <c r="E68" i="1" s="1"/>
  <c r="U69" i="1"/>
  <c r="U68" i="1" s="1"/>
  <c r="M69" i="1"/>
  <c r="I69" i="1"/>
  <c r="E69" i="1"/>
  <c r="V68" i="1"/>
  <c r="T68" i="1"/>
  <c r="N68" i="1"/>
  <c r="L68" i="1"/>
  <c r="J68" i="1"/>
  <c r="H68" i="1"/>
  <c r="F68" i="1"/>
  <c r="D68" i="1"/>
  <c r="U67" i="1"/>
  <c r="M67" i="1"/>
  <c r="I67" i="1"/>
  <c r="E67" i="1"/>
  <c r="U66" i="1"/>
  <c r="M66" i="1"/>
  <c r="I66" i="1"/>
  <c r="E66" i="1"/>
  <c r="V65" i="1"/>
  <c r="U65" i="1"/>
  <c r="N65" i="1"/>
  <c r="M65" i="1" s="1"/>
  <c r="J65" i="1"/>
  <c r="I65" i="1" s="1"/>
  <c r="F65" i="1"/>
  <c r="E65" i="1"/>
  <c r="T64" i="1"/>
  <c r="U64" i="1" s="1"/>
  <c r="L64" i="1"/>
  <c r="M64" i="1" s="1"/>
  <c r="H64" i="1"/>
  <c r="I64" i="1" s="1"/>
  <c r="E64" i="1"/>
  <c r="D64" i="1"/>
  <c r="V63" i="1"/>
  <c r="U63" i="1" s="1"/>
  <c r="N63" i="1"/>
  <c r="M63" i="1" s="1"/>
  <c r="J63" i="1"/>
  <c r="I63" i="1" s="1"/>
  <c r="F63" i="1"/>
  <c r="E63" i="1"/>
  <c r="T62" i="1"/>
  <c r="U62" i="1" s="1"/>
  <c r="M62" i="1"/>
  <c r="L62" i="1"/>
  <c r="I62" i="1"/>
  <c r="H62" i="1"/>
  <c r="D62" i="1"/>
  <c r="E62" i="1" s="1"/>
  <c r="U61" i="1"/>
  <c r="M61" i="1"/>
  <c r="I61" i="1"/>
  <c r="E61" i="1"/>
  <c r="U60" i="1"/>
  <c r="M60" i="1"/>
  <c r="I60" i="1"/>
  <c r="E60" i="1"/>
  <c r="U59" i="1"/>
  <c r="M59" i="1"/>
  <c r="I59" i="1"/>
  <c r="E59" i="1"/>
  <c r="U58" i="1"/>
  <c r="M58" i="1"/>
  <c r="I58" i="1"/>
  <c r="E58" i="1"/>
  <c r="V57" i="1"/>
  <c r="U56" i="1"/>
  <c r="M56" i="1"/>
  <c r="M46" i="1" s="1"/>
  <c r="I56" i="1"/>
  <c r="E56" i="1"/>
  <c r="U55" i="1"/>
  <c r="M55" i="1"/>
  <c r="I55" i="1"/>
  <c r="E55" i="1"/>
  <c r="V54" i="1"/>
  <c r="U54" i="1" s="1"/>
  <c r="N54" i="1"/>
  <c r="M54" i="1" s="1"/>
  <c r="J54" i="1"/>
  <c r="I54" i="1" s="1"/>
  <c r="F54" i="1"/>
  <c r="E54" i="1" s="1"/>
  <c r="T53" i="1"/>
  <c r="U53" i="1" s="1"/>
  <c r="L53" i="1"/>
  <c r="M53" i="1" s="1"/>
  <c r="I53" i="1"/>
  <c r="H53" i="1"/>
  <c r="D53" i="1"/>
  <c r="E53" i="1" s="1"/>
  <c r="V52" i="1"/>
  <c r="U52" i="1"/>
  <c r="N52" i="1"/>
  <c r="M52" i="1" s="1"/>
  <c r="J52" i="1"/>
  <c r="I52" i="1" s="1"/>
  <c r="F52" i="1"/>
  <c r="E52" i="1" s="1"/>
  <c r="T51" i="1"/>
  <c r="L51" i="1"/>
  <c r="M51" i="1" s="1"/>
  <c r="H51" i="1"/>
  <c r="H46" i="1" s="1"/>
  <c r="D51" i="1"/>
  <c r="D46" i="1" s="1"/>
  <c r="U50" i="1"/>
  <c r="M50" i="1"/>
  <c r="I50" i="1"/>
  <c r="E50" i="1"/>
  <c r="U49" i="1"/>
  <c r="M49" i="1"/>
  <c r="I49" i="1"/>
  <c r="E49" i="1"/>
  <c r="U48" i="1"/>
  <c r="M48" i="1"/>
  <c r="I48" i="1"/>
  <c r="E48" i="1"/>
  <c r="U47" i="1"/>
  <c r="M47" i="1"/>
  <c r="I47" i="1"/>
  <c r="E47" i="1"/>
  <c r="E46" i="1" s="1"/>
  <c r="L46" i="1"/>
  <c r="U45" i="1"/>
  <c r="U44" i="1"/>
  <c r="M44" i="1"/>
  <c r="I44" i="1"/>
  <c r="E44" i="1"/>
  <c r="M43" i="1"/>
  <c r="L43" i="1"/>
  <c r="N45" i="1" s="1"/>
  <c r="H43" i="1"/>
  <c r="I43" i="1" s="1"/>
  <c r="D43" i="1"/>
  <c r="E43" i="1" s="1"/>
  <c r="T42" i="1"/>
  <c r="U42" i="1" s="1"/>
  <c r="L42" i="1"/>
  <c r="M42" i="1" s="1"/>
  <c r="I42" i="1"/>
  <c r="H42" i="1"/>
  <c r="D42" i="1"/>
  <c r="E42" i="1" s="1"/>
  <c r="U41" i="1"/>
  <c r="L41" i="1"/>
  <c r="H41" i="1"/>
  <c r="H39" i="1" s="1"/>
  <c r="E41" i="1"/>
  <c r="D41" i="1"/>
  <c r="T40" i="1"/>
  <c r="T43" i="1" s="1"/>
  <c r="M40" i="1"/>
  <c r="I40" i="1"/>
  <c r="D40" i="1"/>
  <c r="E40" i="1" s="1"/>
  <c r="V39" i="1"/>
  <c r="U37" i="1"/>
  <c r="M37" i="1"/>
  <c r="I37" i="1"/>
  <c r="E37" i="1"/>
  <c r="T36" i="1"/>
  <c r="T35" i="1" s="1"/>
  <c r="M36" i="1"/>
  <c r="M35" i="1" s="1"/>
  <c r="I36" i="1"/>
  <c r="E36" i="1"/>
  <c r="D36" i="1"/>
  <c r="V35" i="1"/>
  <c r="N35" i="1"/>
  <c r="L35" i="1"/>
  <c r="J35" i="1"/>
  <c r="H35" i="1"/>
  <c r="F35" i="1"/>
  <c r="D35" i="1"/>
  <c r="U34" i="1"/>
  <c r="M34" i="1"/>
  <c r="I34" i="1"/>
  <c r="I32" i="1" s="1"/>
  <c r="E34" i="1"/>
  <c r="E32" i="1" s="1"/>
  <c r="U33" i="1"/>
  <c r="U32" i="1" s="1"/>
  <c r="M33" i="1"/>
  <c r="M32" i="1" s="1"/>
  <c r="I33" i="1"/>
  <c r="E33" i="1"/>
  <c r="V32" i="1"/>
  <c r="T32" i="1"/>
  <c r="N32" i="1"/>
  <c r="L32" i="1"/>
  <c r="J32" i="1"/>
  <c r="H32" i="1"/>
  <c r="F32" i="1"/>
  <c r="D32" i="1"/>
  <c r="U31" i="1"/>
  <c r="M31" i="1"/>
  <c r="I31" i="1"/>
  <c r="E31" i="1"/>
  <c r="U30" i="1"/>
  <c r="L30" i="1"/>
  <c r="L23" i="1" s="1"/>
  <c r="H30" i="1"/>
  <c r="I30" i="1" s="1"/>
  <c r="D30" i="1"/>
  <c r="D23" i="1" s="1"/>
  <c r="U28" i="1"/>
  <c r="M28" i="1"/>
  <c r="I28" i="1"/>
  <c r="E28" i="1"/>
  <c r="U27" i="1"/>
  <c r="M27" i="1"/>
  <c r="I27" i="1"/>
  <c r="E27" i="1"/>
  <c r="U26" i="1"/>
  <c r="M26" i="1"/>
  <c r="I26" i="1"/>
  <c r="E26" i="1"/>
  <c r="U25" i="1"/>
  <c r="M25" i="1"/>
  <c r="I25" i="1"/>
  <c r="E25" i="1"/>
  <c r="U24" i="1"/>
  <c r="U23" i="1" s="1"/>
  <c r="M24" i="1"/>
  <c r="I24" i="1"/>
  <c r="E24" i="1"/>
  <c r="V23" i="1"/>
  <c r="T23" i="1"/>
  <c r="N23" i="1"/>
  <c r="J23" i="1"/>
  <c r="F23" i="1"/>
  <c r="U22" i="1"/>
  <c r="M22" i="1"/>
  <c r="I22" i="1"/>
  <c r="E22" i="1"/>
  <c r="U21" i="1"/>
  <c r="M21" i="1"/>
  <c r="I21" i="1"/>
  <c r="E21" i="1"/>
  <c r="U20" i="1"/>
  <c r="M20" i="1"/>
  <c r="I20" i="1"/>
  <c r="E20" i="1"/>
  <c r="U19" i="1"/>
  <c r="M19" i="1"/>
  <c r="I19" i="1"/>
  <c r="E19" i="1"/>
  <c r="U18" i="1"/>
  <c r="M18" i="1"/>
  <c r="H18" i="1"/>
  <c r="H16" i="1" s="1"/>
  <c r="E18" i="1"/>
  <c r="U17" i="1"/>
  <c r="M17" i="1"/>
  <c r="I17" i="1"/>
  <c r="E17" i="1"/>
  <c r="E16" i="1" s="1"/>
  <c r="V16" i="1"/>
  <c r="T16" i="1"/>
  <c r="N16" i="1"/>
  <c r="L16" i="1"/>
  <c r="J16" i="1"/>
  <c r="F16" i="1"/>
  <c r="D16" i="1"/>
  <c r="U15" i="1"/>
  <c r="U12" i="1" s="1"/>
  <c r="M15" i="1"/>
  <c r="I15" i="1"/>
  <c r="E15" i="1"/>
  <c r="U14" i="1"/>
  <c r="V117" i="1" s="1"/>
  <c r="M14" i="1"/>
  <c r="L116" i="1" s="1"/>
  <c r="I14" i="1"/>
  <c r="E14" i="1"/>
  <c r="U13" i="1"/>
  <c r="M13" i="1"/>
  <c r="I13" i="1"/>
  <c r="E13" i="1"/>
  <c r="V12" i="1"/>
  <c r="T12" i="1"/>
  <c r="N12" i="1"/>
  <c r="L12" i="1"/>
  <c r="J12" i="1"/>
  <c r="H12" i="1"/>
  <c r="F12" i="1"/>
  <c r="D12" i="1"/>
  <c r="U11" i="1"/>
  <c r="M11" i="1"/>
  <c r="I11" i="1"/>
  <c r="E11" i="1"/>
  <c r="U10" i="1"/>
  <c r="M10" i="1"/>
  <c r="M8" i="1" s="1"/>
  <c r="I10" i="1"/>
  <c r="E10" i="1"/>
  <c r="U9" i="1"/>
  <c r="M9" i="1"/>
  <c r="I9" i="1"/>
  <c r="I8" i="1" s="1"/>
  <c r="E9" i="1"/>
  <c r="V8" i="1"/>
  <c r="T8" i="1"/>
  <c r="N8" i="1"/>
  <c r="L8" i="1"/>
  <c r="J8" i="1"/>
  <c r="H8" i="1"/>
  <c r="F8" i="1"/>
  <c r="D8" i="1"/>
  <c r="V7" i="1"/>
  <c r="L111" i="1" l="1"/>
  <c r="M116" i="1"/>
  <c r="M45" i="1"/>
  <c r="N39" i="1"/>
  <c r="I123" i="1"/>
  <c r="I122" i="1" s="1"/>
  <c r="E118" i="1"/>
  <c r="I41" i="1"/>
  <c r="M16" i="1"/>
  <c r="D7" i="1"/>
  <c r="U36" i="1"/>
  <c r="U35" i="1" s="1"/>
  <c r="L39" i="1"/>
  <c r="E57" i="1"/>
  <c r="H89" i="1"/>
  <c r="L89" i="1"/>
  <c r="I118" i="1"/>
  <c r="I111" i="1" s="1"/>
  <c r="U123" i="1"/>
  <c r="M133" i="1"/>
  <c r="F129" i="1"/>
  <c r="E168" i="1"/>
  <c r="L174" i="1"/>
  <c r="E196" i="1"/>
  <c r="V187" i="1"/>
  <c r="M211" i="1"/>
  <c r="J187" i="1"/>
  <c r="U225" i="1"/>
  <c r="J224" i="1"/>
  <c r="U294" i="1"/>
  <c r="I312" i="1"/>
  <c r="I311" i="1" s="1"/>
  <c r="U317" i="1"/>
  <c r="U316" i="1" s="1"/>
  <c r="E11" i="4"/>
  <c r="E24" i="4" s="1"/>
  <c r="E51" i="1"/>
  <c r="M12" i="1"/>
  <c r="N7" i="1"/>
  <c r="U8" i="1"/>
  <c r="U16" i="1"/>
  <c r="T7" i="1"/>
  <c r="E30" i="1"/>
  <c r="E35" i="1"/>
  <c r="V46" i="1"/>
  <c r="H57" i="1"/>
  <c r="M94" i="1"/>
  <c r="U100" i="1"/>
  <c r="I105" i="1"/>
  <c r="J123" i="1"/>
  <c r="J122" i="1" s="1"/>
  <c r="U133" i="1"/>
  <c r="E136" i="1"/>
  <c r="H129" i="1"/>
  <c r="M151" i="1"/>
  <c r="I168" i="1"/>
  <c r="V175" i="1"/>
  <c r="V174" i="1" s="1"/>
  <c r="M175" i="1"/>
  <c r="M188" i="1"/>
  <c r="M187" i="1" s="1"/>
  <c r="L187" i="1"/>
  <c r="D187" i="1"/>
  <c r="E205" i="1"/>
  <c r="U211" i="1"/>
  <c r="L224" i="1"/>
  <c r="M312" i="1"/>
  <c r="M311" i="1" s="1"/>
  <c r="D11" i="2"/>
  <c r="D31" i="2"/>
  <c r="D8" i="2" s="1"/>
  <c r="M145" i="1"/>
  <c r="E105" i="1"/>
  <c r="E12" i="1"/>
  <c r="F7" i="1"/>
  <c r="T46" i="1"/>
  <c r="M57" i="1"/>
  <c r="I68" i="1"/>
  <c r="V80" i="1"/>
  <c r="U80" i="1" s="1"/>
  <c r="L78" i="1"/>
  <c r="E78" i="1"/>
  <c r="E89" i="1"/>
  <c r="T89" i="1"/>
  <c r="T116" i="1"/>
  <c r="M130" i="1"/>
  <c r="E133" i="1"/>
  <c r="I136" i="1"/>
  <c r="U151" i="1"/>
  <c r="E175" i="1"/>
  <c r="U188" i="1"/>
  <c r="I205" i="1"/>
  <c r="E211" i="1"/>
  <c r="E214" i="1"/>
  <c r="M214" i="1"/>
  <c r="N224" i="1"/>
  <c r="I294" i="1"/>
  <c r="I317" i="1"/>
  <c r="I316" i="1" s="1"/>
  <c r="U57" i="1"/>
  <c r="E294" i="1"/>
  <c r="T57" i="1"/>
  <c r="E116" i="1"/>
  <c r="U145" i="1"/>
  <c r="I225" i="1"/>
  <c r="I224" i="1" s="1"/>
  <c r="I85" i="1"/>
  <c r="I78" i="1" s="1"/>
  <c r="U196" i="1"/>
  <c r="M225" i="1"/>
  <c r="I35" i="1"/>
  <c r="I12" i="1"/>
  <c r="I18" i="1"/>
  <c r="I16" i="1" s="1"/>
  <c r="I7" i="1" s="1"/>
  <c r="L7" i="1"/>
  <c r="U40" i="1"/>
  <c r="U51" i="1"/>
  <c r="U46" i="1" s="1"/>
  <c r="I46" i="1"/>
  <c r="L57" i="1"/>
  <c r="F57" i="1"/>
  <c r="M68" i="1"/>
  <c r="M83" i="1"/>
  <c r="I89" i="1"/>
  <c r="U94" i="1"/>
  <c r="U130" i="1"/>
  <c r="I133" i="1"/>
  <c r="I129" i="1" s="1"/>
  <c r="M136" i="1"/>
  <c r="L129" i="1"/>
  <c r="E151" i="1"/>
  <c r="I176" i="1"/>
  <c r="I175" i="1" s="1"/>
  <c r="I174" i="1" s="1"/>
  <c r="E188" i="1"/>
  <c r="N187" i="1"/>
  <c r="M200" i="1"/>
  <c r="M205" i="1"/>
  <c r="I214" i="1"/>
  <c r="M294" i="1"/>
  <c r="E312" i="1"/>
  <c r="E311" i="1" s="1"/>
  <c r="M317" i="1"/>
  <c r="M316" i="1" s="1"/>
  <c r="D24" i="4"/>
  <c r="I160" i="1"/>
  <c r="E8" i="1"/>
  <c r="E114" i="1"/>
  <c r="M180" i="1"/>
  <c r="J7" i="1"/>
  <c r="F89" i="1"/>
  <c r="E23" i="1"/>
  <c r="E7" i="1" s="1"/>
  <c r="D39" i="1"/>
  <c r="J46" i="1"/>
  <c r="M90" i="1"/>
  <c r="N100" i="1"/>
  <c r="D111" i="1"/>
  <c r="V123" i="1"/>
  <c r="V122" i="1" s="1"/>
  <c r="J174" i="1"/>
  <c r="T187" i="1"/>
  <c r="U205" i="1"/>
  <c r="T224" i="1"/>
  <c r="D21" i="2"/>
  <c r="D45" i="2" s="1"/>
  <c r="E129" i="1"/>
  <c r="U7" i="1"/>
  <c r="I23" i="1"/>
  <c r="I57" i="1"/>
  <c r="E100" i="1"/>
  <c r="U174" i="1"/>
  <c r="U187" i="1"/>
  <c r="U89" i="1"/>
  <c r="I100" i="1"/>
  <c r="E187" i="1"/>
  <c r="L321" i="1"/>
  <c r="L38" i="1"/>
  <c r="H38" i="1"/>
  <c r="V111" i="1"/>
  <c r="U117" i="1"/>
  <c r="M78" i="1"/>
  <c r="E115" i="1"/>
  <c r="F111" i="1"/>
  <c r="M174" i="1"/>
  <c r="M129" i="1"/>
  <c r="V78" i="1"/>
  <c r="M123" i="1"/>
  <c r="M122" i="1" s="1"/>
  <c r="M224" i="1"/>
  <c r="M89" i="1"/>
  <c r="U122" i="1"/>
  <c r="U224" i="1"/>
  <c r="E111" i="1"/>
  <c r="E224" i="1"/>
  <c r="T39" i="1"/>
  <c r="U43" i="1"/>
  <c r="E174" i="1"/>
  <c r="E21" i="2"/>
  <c r="F175" i="1"/>
  <c r="F174" i="1" s="1"/>
  <c r="J45" i="1"/>
  <c r="D57" i="1"/>
  <c r="D38" i="1" s="1"/>
  <c r="D321" i="1" s="1"/>
  <c r="U79" i="1"/>
  <c r="E36" i="2"/>
  <c r="J78" i="1"/>
  <c r="V100" i="1"/>
  <c r="M41" i="1"/>
  <c r="M39" i="1" s="1"/>
  <c r="M38" i="1" s="1"/>
  <c r="M105" i="1"/>
  <c r="M100" i="1" s="1"/>
  <c r="M30" i="1"/>
  <c r="M23" i="1" s="1"/>
  <c r="N46" i="1"/>
  <c r="N38" i="1" s="1"/>
  <c r="E12" i="2"/>
  <c r="H23" i="1"/>
  <c r="H7" i="1" s="1"/>
  <c r="N123" i="1"/>
  <c r="N122" i="1" s="1"/>
  <c r="F21" i="2"/>
  <c r="F37" i="2"/>
  <c r="J111" i="1"/>
  <c r="N117" i="1"/>
  <c r="J130" i="1"/>
  <c r="J133" i="1"/>
  <c r="I51" i="1"/>
  <c r="N78" i="1"/>
  <c r="F100" i="1"/>
  <c r="U139" i="1"/>
  <c r="U136" i="1" s="1"/>
  <c r="U129" i="1" s="1"/>
  <c r="J57" i="1"/>
  <c r="T78" i="1"/>
  <c r="F45" i="1"/>
  <c r="J89" i="1"/>
  <c r="F46" i="1"/>
  <c r="N130" i="1"/>
  <c r="N133" i="1"/>
  <c r="J100" i="1"/>
  <c r="F17" i="2"/>
  <c r="N57" i="1"/>
  <c r="E32" i="4" l="1"/>
  <c r="E19" i="4"/>
  <c r="V38" i="1"/>
  <c r="V321" i="1" s="1"/>
  <c r="H321" i="1"/>
  <c r="T111" i="1"/>
  <c r="U116" i="1"/>
  <c r="U111" i="1" s="1"/>
  <c r="U39" i="1"/>
  <c r="I187" i="1"/>
  <c r="I321" i="1" s="1"/>
  <c r="T38" i="1"/>
  <c r="T321" i="1" s="1"/>
  <c r="U78" i="1"/>
  <c r="M7" i="1"/>
  <c r="M321" i="1"/>
  <c r="E321" i="1"/>
  <c r="F11" i="2"/>
  <c r="E17" i="2"/>
  <c r="I45" i="1"/>
  <c r="I39" i="1" s="1"/>
  <c r="I38" i="1" s="1"/>
  <c r="J39" i="1"/>
  <c r="J38" i="1" s="1"/>
  <c r="N129" i="1"/>
  <c r="N321" i="1" s="1"/>
  <c r="J129" i="1"/>
  <c r="E11" i="2"/>
  <c r="N111" i="1"/>
  <c r="M117" i="1"/>
  <c r="M111" i="1" s="1"/>
  <c r="E45" i="1"/>
  <c r="E39" i="1" s="1"/>
  <c r="E38" i="1" s="1"/>
  <c r="F39" i="1"/>
  <c r="F38" i="1" s="1"/>
  <c r="F321" i="1" s="1"/>
  <c r="F31" i="2"/>
  <c r="E37" i="2"/>
  <c r="E31" i="2" s="1"/>
  <c r="U38" i="1"/>
  <c r="U321" i="1" s="1"/>
  <c r="I18" i="4" l="1"/>
  <c r="E34" i="4"/>
  <c r="J321" i="1"/>
  <c r="E45" i="2"/>
  <c r="E8" i="2"/>
  <c r="F8" i="2"/>
  <c r="F45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tc={008700F9-00C5-4AC1-92DD-00DC0033007F}</author>
    <author>tc={001A0098-002A-4307-A069-003100420050}</author>
    <author>tc={00FF0040-0018-4CCE-8B36-008E00B00009}</author>
    <author>tc={00F100EB-006C-4684-8F72-00C6004800A2}</author>
    <author>tc={B2E57B57-3401-AA77-058D-3B5036071F5F}</author>
    <author>tc={006F002D-00A7-4DCD-AE80-006700B50060}</author>
    <author>tc={00DE0065-001D-415F-8A11-003200F300F0}</author>
    <author>tc={00AA0026-00B0-47A0-97E5-007900430012}</author>
    <author>tc={4B215458-2FC3-B819-FB14-67F8F9001D80}</author>
    <author>tc={CCA5C02B-3850-ECE3-FF79-71E26194E084}</author>
  </authors>
  <commentList>
    <comment ref="C20" authorId="0" shapeId="0" xr:uid="{00000000-0006-0000-0000-000001000000}">
      <text>
        <t xml:space="preserve">[Kommentarthread]
Ihre Version von Excel gestattet Ihnen das Lesen dieses Kommentarthreads. Jegliche Bearbeitungen daran werden jedoch entfernt, wenn die Datei in einer neueren Version von Excel geöffnet wird. Weitere Informationen: https://go.microsoft.com/fwlink/?linkid=870924.
Kommentar:
    siehe Tagesgeldkonto Sozialfond (Sparbuch Sparkasse)
</t>
      </text>
    </comment>
    <comment ref="C36" authorId="1" shapeId="0" xr:uid="{00000000-0006-0000-0000-000002000000}">
      <text>
        <t xml:space="preserve">[Kommentarthread]
Ihre Version von Excel gestattet Ihnen das Lesen dieses Kommentarthreads. Jegliche Bearbeitungen daran werden jedoch entfernt, wenn die Datei in einer neueren Version von Excel geöffnet wird. Weitere Informationen: https://go.microsoft.com/fwlink/?linkid=870924.
Kommentar:
    siehe HH-Kommentar
1) noch nicht zugeteilte Semestergelder
2) Rückerstattung SemSoz
</t>
      </text>
    </comment>
    <comment ref="C125" authorId="2" shapeId="0" xr:uid="{00000000-0006-0000-0000-000003000000}">
      <text>
        <t xml:space="preserve">[Kommentarthread]
Ihre Version von Excel gestattet Ihnen das Lesen dieses Kommentarthreads. Jegliche Bearbeitungen daran werden jedoch entfernt, wenn die Datei in einer neueren Version von Excel geöffnet wird. Weitere Informationen: https://go.microsoft.com/fwlink/?linkid=870924.
Kommentar:
    11 01 Restmittel des Vorjahres (Girokonto Sozialfond)+ 13 01 Sozialfond (Sparbuch)
</t>
      </text>
    </comment>
    <comment ref="C176" authorId="3" shapeId="0" xr:uid="{00000000-0006-0000-0000-000004000000}">
      <text>
        <t xml:space="preserve">[Kommentarthread]
Ihre Version von Excel gestattet Ihnen das Lesen dieses Kommentarthreads. Jegliche Bearbeitungen daran werden jedoch entfernt, wenn die Datei in einer neueren Version von Excel geöffnet wird. Weitere Informationen: https://go.microsoft.com/fwlink/?linkid=870924.
Kommentar:
    ggf. BdH fragen, ob sich Löhne erhöhen könnten
</t>
      </text>
    </comment>
    <comment ref="K176" authorId="4" shapeId="0" xr:uid="{00000000-0006-0000-0000-000005000000}">
      <text>
        <t xml:space="preserve">[Kommentarthread]
Ihre Version von Excel gestattet Ihnen das Lesen dieses Kommentarthreads. Jegliche Bearbeitungen daran werden jedoch entfernt, wenn die Datei in einer neueren Version von Excel geöffnet wird. Weitere Informationen: https://go.microsoft.com/fwlink/?linkid=870924.
Kommentar:
    + 4 Monate Kultur Festi
</t>
      </text>
    </comment>
    <comment ref="D217" authorId="5" shapeId="0" xr:uid="{00000000-0006-0000-0000-000006000000}">
      <text>
        <t xml:space="preserve">[Kommentarthread]
Ihre Version von Excel gestattet Ihnen das Lesen dieses Kommentarthreads. Jegliche Bearbeitungen daran werden jedoch entfernt, wenn die Datei in einer neueren Version von Excel geöffnet wird. Weitere Informationen: https://go.microsoft.com/fwlink/?linkid=870924.
Kommentar:
    Zweckgebundene Einnamen FZS im WS 23/24
</t>
      </text>
    </comment>
    <comment ref="H217" authorId="6" shapeId="0" xr:uid="{00000000-0006-0000-0000-000007000000}">
      <text>
        <t xml:space="preserve">[Kommentarthread]
Ihre Version von Excel gestattet Ihnen das Lesen dieses Kommentarthreads. Jegliche Bearbeitungen daran werden jedoch entfernt, wenn die Datei in einer neueren Version von Excel geöffnet wird. Weitere Informationen: https://go.microsoft.com/fwlink/?linkid=870924.
Kommentar:
    Zweckgebundene Einnamen FZS im WS 23/24
</t>
      </text>
    </comment>
    <comment ref="L217" authorId="7" shapeId="0" xr:uid="{00000000-0006-0000-0000-000008000000}">
      <text>
        <t xml:space="preserve">[Kommentarthread]
Ihre Version von Excel gestattet Ihnen das Lesen dieses Kommentarthreads. Jegliche Bearbeitungen daran werden jedoch entfernt, wenn die Datei in einer neueren Version von Excel geöffnet wird. Weitere Informationen: https://go.microsoft.com/fwlink/?linkid=870924.
Kommentar:
    Zweckgebundene Einnamen FZS im WS 23/24
</t>
      </text>
    </comment>
    <comment ref="G221" authorId="8" shapeId="0" xr:uid="{00000000-0006-0000-0000-000009000000}">
      <text>
        <t xml:space="preserve">[Kommentarthread]
Ihre Version von Excel gestattet Ihnen das Lesen dieses Kommentarthreads. Jegliche Bearbeitungen daran werden jedoch entfernt, wenn die Datei in einer neueren Version von Excel geöffnet wird. Weitere Informationen: https://go.microsoft.com/fwlink/?linkid=870924.
Kommentar:
    Reduzierung der Reisekosten durch änderung der Reisekostenrichtlinie, Fachschaften müssen mehr selber für ihre Bufatas aufkommen
</t>
      </text>
    </comment>
    <comment ref="K221" authorId="9" shapeId="0" xr:uid="{00000000-0006-0000-0000-00000A000000}">
      <text>
        <t xml:space="preserve">[Kommentarthread]
Ihre Version von Excel gestattet Ihnen das Lesen dieses Kommentarthreads. Jegliche Bearbeitungen daran werden jedoch entfernt, wenn die Datei in einer neueren Version von Excel geöffnet wird. Weitere Informationen: https://go.microsoft.com/fwlink/?linkid=870924.
Kommentar:
    an ausgaben angepasst.
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tc={00B6004F-007E-41C6-8B4A-0050001E0012}</author>
    <author>tc={002200B7-005D-47C2-A9DB-00370012006D}</author>
  </authors>
  <commentList>
    <comment ref="E7" authorId="0" shapeId="0" xr:uid="{00000000-0006-0000-0300-000001000000}">
      <text>
        <t xml:space="preserve">[Kommentarthread]
Ihre Version von Excel gestattet Ihnen das Lesen dieses Kommentarthreads. Jegliche Bearbeitungen daran werden jedoch entfernt, wenn die Datei in einer neueren Version von Excel geöffnet wird. Weitere Informationen: https://go.microsoft.com/fwlink/?linkid=870924.
Kommentar:
    *4 Monate
</t>
      </text>
    </comment>
    <comment ref="E13" authorId="1" shapeId="0" xr:uid="{00000000-0006-0000-0300-000002000000}">
      <text>
        <t xml:space="preserve">[Kommentarthread]
Ihre Version von Excel gestattet Ihnen das Lesen dieses Kommentarthreads. Jegliche Bearbeitungen daran werden jedoch entfernt, wenn die Datei in einer neueren Version von Excel geöffnet wird. Weitere Informationen: https://go.microsoft.com/fwlink/?linkid=870924.
Kommentar:
    *8 Monate
</t>
      </text>
    </comment>
  </commentList>
</comments>
</file>

<file path=xl/sharedStrings.xml><?xml version="1.0" encoding="utf-8"?>
<sst xmlns="http://schemas.openxmlformats.org/spreadsheetml/2006/main" count="983" uniqueCount="832">
  <si>
    <t>HH 2023</t>
  </si>
  <si>
    <t>Ansatz WS</t>
  </si>
  <si>
    <t>Ansatz SS</t>
  </si>
  <si>
    <t>Haushalt 2024</t>
  </si>
  <si>
    <t>2. NHH Haushalt 2023</t>
  </si>
  <si>
    <t>1. NHH Haushalt 2023</t>
  </si>
  <si>
    <t>Haushalt 2023</t>
  </si>
  <si>
    <t>2. NHH 2022</t>
  </si>
  <si>
    <t>Titel (alt)</t>
  </si>
  <si>
    <t>Titel (neu)</t>
  </si>
  <si>
    <t>Bezeichnung</t>
  </si>
  <si>
    <t>Einnahmen</t>
  </si>
  <si>
    <t>Saldo</t>
  </si>
  <si>
    <t>Ausgaben</t>
  </si>
  <si>
    <t>Finanzverwaltung</t>
  </si>
  <si>
    <t>11</t>
  </si>
  <si>
    <t>Überschuss</t>
  </si>
  <si>
    <t>11 01</t>
  </si>
  <si>
    <t>297000</t>
  </si>
  <si>
    <t>Überschuss des Vorjahres</t>
  </si>
  <si>
    <t>297800</t>
  </si>
  <si>
    <t>Verlustvortrag vor Verwendung</t>
  </si>
  <si>
    <t>297010</t>
  </si>
  <si>
    <t>Überschuss des Vorjahres Fachschaften</t>
  </si>
  <si>
    <t>12</t>
  </si>
  <si>
    <t>Kontoführung</t>
  </si>
  <si>
    <t>12 01</t>
  </si>
  <si>
    <t>711000</t>
  </si>
  <si>
    <t>Zinserträge</t>
  </si>
  <si>
    <t>731000</t>
  </si>
  <si>
    <t>Zinsausgaben</t>
  </si>
  <si>
    <t>685500</t>
  </si>
  <si>
    <t>Gebühren</t>
  </si>
  <si>
    <t>13</t>
  </si>
  <si>
    <t>Rücklagen</t>
  </si>
  <si>
    <t>13 01</t>
  </si>
  <si>
    <t>777510</t>
  </si>
  <si>
    <t>Betriebsmittelrücklage Einstellung</t>
  </si>
  <si>
    <t>774510</t>
  </si>
  <si>
    <t>Betriebsmittelrücklage Entnahme</t>
  </si>
  <si>
    <t>13 03</t>
  </si>
  <si>
    <t>777530</t>
  </si>
  <si>
    <t>Rücklage Sozialfonds Einstellung</t>
  </si>
  <si>
    <t>774530</t>
  </si>
  <si>
    <t>Rücklage Sozialfonds Entnahme</t>
  </si>
  <si>
    <t>13 04</t>
  </si>
  <si>
    <t>777520</t>
  </si>
  <si>
    <t>Rücklage Inventar Einstellung</t>
  </si>
  <si>
    <t>774520</t>
  </si>
  <si>
    <t>Rücklage Inventar Entnahme</t>
  </si>
  <si>
    <t>14</t>
  </si>
  <si>
    <t>Steuern und Gebühren</t>
  </si>
  <si>
    <t>14 01</t>
  </si>
  <si>
    <t>380600</t>
  </si>
  <si>
    <t>Umsatzsteuer 19% / 16 %</t>
  </si>
  <si>
    <t>14 02</t>
  </si>
  <si>
    <t>140600</t>
  </si>
  <si>
    <t>Vorsteuer 19% / 16%</t>
  </si>
  <si>
    <t>380100</t>
  </si>
  <si>
    <t>Umsatzsteuer 7% / 5%</t>
  </si>
  <si>
    <t>140100</t>
  </si>
  <si>
    <t>Vorsteuer 7% / 5%</t>
  </si>
  <si>
    <t>14 03</t>
  </si>
  <si>
    <t>382000</t>
  </si>
  <si>
    <t>Umsatzsteuer Finanzamt</t>
  </si>
  <si>
    <t>Körperschaftsteuer</t>
  </si>
  <si>
    <t>643002</t>
  </si>
  <si>
    <t>Vorsteuer Finanzamt</t>
  </si>
  <si>
    <t>14 06</t>
  </si>
  <si>
    <t>643001</t>
  </si>
  <si>
    <t>Allgemeine Gebühren</t>
  </si>
  <si>
    <t>16</t>
  </si>
  <si>
    <t>Spenden und Sponsoring</t>
  </si>
  <si>
    <t>16 01</t>
  </si>
  <si>
    <t>483501</t>
  </si>
  <si>
    <t>Spenden</t>
  </si>
  <si>
    <t>16 02</t>
  </si>
  <si>
    <t>483600</t>
  </si>
  <si>
    <t>Sponsoring</t>
  </si>
  <si>
    <t>17</t>
  </si>
  <si>
    <t>Rückstellungen</t>
  </si>
  <si>
    <t>17 01</t>
  </si>
  <si>
    <t>307000</t>
  </si>
  <si>
    <t>Sonstige Rückstellungen</t>
  </si>
  <si>
    <t>17 02</t>
  </si>
  <si>
    <t>307010</t>
  </si>
  <si>
    <t>Rückstellung Fachschaftsvermögen</t>
  </si>
  <si>
    <t>2</t>
  </si>
  <si>
    <t>Semesterbeiträge</t>
  </si>
  <si>
    <t>21</t>
  </si>
  <si>
    <t>AStA-Beitrag</t>
  </si>
  <si>
    <t>21 01</t>
  </si>
  <si>
    <t>390001</t>
  </si>
  <si>
    <t>Rückstellungen Einnahmen</t>
  </si>
  <si>
    <t>21 02</t>
  </si>
  <si>
    <t>400010</t>
  </si>
  <si>
    <t>WS aktuelles HHJ Einnahmen</t>
  </si>
  <si>
    <t>21 03</t>
  </si>
  <si>
    <t>400020</t>
  </si>
  <si>
    <t>SS aktuelles HHJ Einnahmen</t>
  </si>
  <si>
    <t>400030</t>
  </si>
  <si>
    <t>WS folgendes HHJ Einnahmen</t>
  </si>
  <si>
    <t>21 04</t>
  </si>
  <si>
    <t>390000</t>
  </si>
  <si>
    <t>Vorauszahlungen Einnahmen</t>
  </si>
  <si>
    <t>Rückstellungen Wintersemester</t>
  </si>
  <si>
    <t>22</t>
  </si>
  <si>
    <t>Hochschulradio*</t>
  </si>
  <si>
    <t>22 01</t>
  </si>
  <si>
    <t>391000</t>
  </si>
  <si>
    <t>191000</t>
  </si>
  <si>
    <t>Rückstellungen Ausgaben</t>
  </si>
  <si>
    <t>22 02</t>
  </si>
  <si>
    <t>401010</t>
  </si>
  <si>
    <t>630310</t>
  </si>
  <si>
    <t>WS aktuelles HHJ Ausgaben</t>
  </si>
  <si>
    <t>22 03</t>
  </si>
  <si>
    <t>401020</t>
  </si>
  <si>
    <t>630320</t>
  </si>
  <si>
    <t>SS aktuelles HHJ Ausgaben</t>
  </si>
  <si>
    <t>401030</t>
  </si>
  <si>
    <t>630330</t>
  </si>
  <si>
    <t>WS folgendes HHJ Ausgaben</t>
  </si>
  <si>
    <t>22 04</t>
  </si>
  <si>
    <t>391001</t>
  </si>
  <si>
    <t>191001</t>
  </si>
  <si>
    <t>Vorauszahlungen Ausgaben</t>
  </si>
  <si>
    <t>23</t>
  </si>
  <si>
    <t>Hochschulsport*</t>
  </si>
  <si>
    <t>23 01</t>
  </si>
  <si>
    <t>392000</t>
  </si>
  <si>
    <t>192000</t>
  </si>
  <si>
    <t>23 02</t>
  </si>
  <si>
    <t>402010</t>
  </si>
  <si>
    <t>630410</t>
  </si>
  <si>
    <t>23 03</t>
  </si>
  <si>
    <t>402020</t>
  </si>
  <si>
    <t>630420</t>
  </si>
  <si>
    <t>402030</t>
  </si>
  <si>
    <t>630430</t>
  </si>
  <si>
    <t>23 04</t>
  </si>
  <si>
    <t>392001</t>
  </si>
  <si>
    <t>192001</t>
  </si>
  <si>
    <t>24</t>
  </si>
  <si>
    <t>Deckung des Sozialfonds*</t>
  </si>
  <si>
    <t>24 01</t>
  </si>
  <si>
    <t>390002</t>
  </si>
  <si>
    <t>Rückstellung Ausgaben</t>
  </si>
  <si>
    <t>24 02</t>
  </si>
  <si>
    <t>409010</t>
  </si>
  <si>
    <t>24 03</t>
  </si>
  <si>
    <t>409020</t>
  </si>
  <si>
    <t>24 04</t>
  </si>
  <si>
    <t>399001</t>
  </si>
  <si>
    <t>25</t>
  </si>
  <si>
    <t>Semesterticket Sozial*</t>
  </si>
  <si>
    <t>25 01</t>
  </si>
  <si>
    <t>350001</t>
  </si>
  <si>
    <t>630540</t>
  </si>
  <si>
    <t>25 02</t>
  </si>
  <si>
    <t>403010</t>
  </si>
  <si>
    <t>630510</t>
  </si>
  <si>
    <t>25 03</t>
  </si>
  <si>
    <t>403020</t>
  </si>
  <si>
    <t>630520</t>
  </si>
  <si>
    <t>403030</t>
  </si>
  <si>
    <t>630530</t>
  </si>
  <si>
    <t>25 04</t>
  </si>
  <si>
    <t>393001</t>
  </si>
  <si>
    <t>26</t>
  </si>
  <si>
    <t>Fachschaftsbeitrag*</t>
  </si>
  <si>
    <t>26 01</t>
  </si>
  <si>
    <t>307011</t>
  </si>
  <si>
    <t>26 02</t>
  </si>
  <si>
    <t>404010</t>
  </si>
  <si>
    <t>630610</t>
  </si>
  <si>
    <t>26 03</t>
  </si>
  <si>
    <t>404020</t>
  </si>
  <si>
    <t>630620</t>
  </si>
  <si>
    <t>404030</t>
  </si>
  <si>
    <t>630630</t>
  </si>
  <si>
    <t>26 04</t>
  </si>
  <si>
    <t>394000</t>
  </si>
  <si>
    <t>27</t>
  </si>
  <si>
    <t>Nextbike*</t>
  </si>
  <si>
    <t>27 01</t>
  </si>
  <si>
    <t>393000</t>
  </si>
  <si>
    <t>190012</t>
  </si>
  <si>
    <t>27 02</t>
  </si>
  <si>
    <t>405011</t>
  </si>
  <si>
    <t>630711</t>
  </si>
  <si>
    <t>27 03</t>
  </si>
  <si>
    <t>405021</t>
  </si>
  <si>
    <t>630721</t>
  </si>
  <si>
    <t>405031</t>
  </si>
  <si>
    <t>630731</t>
  </si>
  <si>
    <t>27 04</t>
  </si>
  <si>
    <t>193001</t>
  </si>
  <si>
    <t>28</t>
  </si>
  <si>
    <t>FZS-Beiträge*</t>
  </si>
  <si>
    <t>28 01</t>
  </si>
  <si>
    <t>28 02</t>
  </si>
  <si>
    <t>28 03</t>
  </si>
  <si>
    <t>28 04</t>
  </si>
  <si>
    <t>4</t>
  </si>
  <si>
    <t>Sozialausgaben</t>
  </si>
  <si>
    <t>41</t>
  </si>
  <si>
    <t>Sozialdarlehen</t>
  </si>
  <si>
    <t>41 01</t>
  </si>
  <si>
    <t>130010</t>
  </si>
  <si>
    <t>Sozialdarlehen Einnahme</t>
  </si>
  <si>
    <t>Sozialdarlehen Ausgabe</t>
  </si>
  <si>
    <t>682502</t>
  </si>
  <si>
    <t>Betreibung Sozialdarlehen Einnahmen</t>
  </si>
  <si>
    <t>42</t>
  </si>
  <si>
    <t>Beitreibungskosten</t>
  </si>
  <si>
    <t>42 01</t>
  </si>
  <si>
    <t>682501</t>
  </si>
  <si>
    <t>Gerichts- &amp; Rechtsanwaltskosten</t>
  </si>
  <si>
    <t>5</t>
  </si>
  <si>
    <t>Dienstleistungen</t>
  </si>
  <si>
    <t>51</t>
  </si>
  <si>
    <t>Rechtsberatung</t>
  </si>
  <si>
    <t>51 01</t>
  </si>
  <si>
    <t>405201</t>
  </si>
  <si>
    <t>Rechtsberatung Einnahmen</t>
  </si>
  <si>
    <t>630370</t>
  </si>
  <si>
    <t>Rechtsberatung Ausgaben</t>
  </si>
  <si>
    <t>52</t>
  </si>
  <si>
    <t>Sozialberatung</t>
  </si>
  <si>
    <t>52 01</t>
  </si>
  <si>
    <t>405301</t>
  </si>
  <si>
    <t>Sozialberatung Einnahmen</t>
  </si>
  <si>
    <t>630380</t>
  </si>
  <si>
    <t>Sozialberatung Ausgaben</t>
  </si>
  <si>
    <t>53</t>
  </si>
  <si>
    <t>Deutschkurse</t>
  </si>
  <si>
    <t>53 01</t>
  </si>
  <si>
    <t>411000</t>
  </si>
  <si>
    <t>Teilnahmegebühren SoSe</t>
  </si>
  <si>
    <t>411010</t>
  </si>
  <si>
    <t>Rückzahlung Teilnahmegebühren SoSe</t>
  </si>
  <si>
    <t>411001</t>
  </si>
  <si>
    <t>Teilnahmegebühren WiSe</t>
  </si>
  <si>
    <t>411021</t>
  </si>
  <si>
    <t>Rückzahlung Teilnahmegebühren WiSe</t>
  </si>
  <si>
    <t>53 02</t>
  </si>
  <si>
    <t>630325</t>
  </si>
  <si>
    <t>Lehrkrafthonorare SoSe</t>
  </si>
  <si>
    <t>630326</t>
  </si>
  <si>
    <t>Lehrkrafthonorare WiSe</t>
  </si>
  <si>
    <t>53 03</t>
  </si>
  <si>
    <t>630025</t>
  </si>
  <si>
    <t>Materialkosten</t>
  </si>
  <si>
    <t>53 04</t>
  </si>
  <si>
    <t>630425</t>
  </si>
  <si>
    <t>Organisation</t>
  </si>
  <si>
    <t>54</t>
  </si>
  <si>
    <t>SP-Saal Vergabe</t>
  </si>
  <si>
    <t>54 01</t>
  </si>
  <si>
    <t>355001</t>
  </si>
  <si>
    <t>Kautionen</t>
  </si>
  <si>
    <t>54 02</t>
  </si>
  <si>
    <t>410511</t>
  </si>
  <si>
    <t>Nutzungsüberlassung</t>
  </si>
  <si>
    <t>54 03</t>
  </si>
  <si>
    <t>410514</t>
  </si>
  <si>
    <t>Reinigungsmittel</t>
  </si>
  <si>
    <t>54 04</t>
  </si>
  <si>
    <t>410515</t>
  </si>
  <si>
    <t>GEMA-Gebühren</t>
  </si>
  <si>
    <t>54 05</t>
  </si>
  <si>
    <t>410516</t>
  </si>
  <si>
    <t>Kleinmöbelmiete</t>
  </si>
  <si>
    <t>56</t>
  </si>
  <si>
    <t>Veranstaltungen &amp; Initiativen</t>
  </si>
  <si>
    <t>56 01</t>
  </si>
  <si>
    <t>483605</t>
  </si>
  <si>
    <t>Sonstige Veranstaltungen &amp; Initiativen Einnahmen</t>
  </si>
  <si>
    <t>630050</t>
  </si>
  <si>
    <t>Sonstige Veranstaltungen &amp; Initiativen Ausgaben</t>
  </si>
  <si>
    <t>56 02</t>
  </si>
  <si>
    <t>420120</t>
  </si>
  <si>
    <t>ESAG Einnahmen</t>
  </si>
  <si>
    <t>520120</t>
  </si>
  <si>
    <t>ESAG Ausgaben</t>
  </si>
  <si>
    <t>56 04</t>
  </si>
  <si>
    <t>420060</t>
  </si>
  <si>
    <t>Brunch Einnahmen</t>
  </si>
  <si>
    <t>520060</t>
  </si>
  <si>
    <t>Brunch Ausgaben</t>
  </si>
  <si>
    <t>56 05</t>
  </si>
  <si>
    <t>420070</t>
  </si>
  <si>
    <t>Campus-CSD Einnahmen</t>
  </si>
  <si>
    <t>520070</t>
  </si>
  <si>
    <t>Campus-CSD Ausgaben</t>
  </si>
  <si>
    <t>57</t>
  </si>
  <si>
    <t>Kulturreferat</t>
  </si>
  <si>
    <t>57 03</t>
  </si>
  <si>
    <t>483520</t>
  </si>
  <si>
    <t>Ausgleichszahlungen</t>
  </si>
  <si>
    <t>57 04</t>
  </si>
  <si>
    <t>420030</t>
  </si>
  <si>
    <t>Sommerkult Einnahmen</t>
  </si>
  <si>
    <t>520030</t>
  </si>
  <si>
    <t>Sommerkult Ausgaben</t>
  </si>
  <si>
    <t>57 06</t>
  </si>
  <si>
    <t>420040</t>
  </si>
  <si>
    <t>Sonstige Veranstaltungen Einnahmen</t>
  </si>
  <si>
    <t>520040</t>
  </si>
  <si>
    <t>Sonstige Veranstaltungen Ausgaben</t>
  </si>
  <si>
    <t>57 07</t>
  </si>
  <si>
    <t>420050</t>
  </si>
  <si>
    <t>Campuskino Einnahmen</t>
  </si>
  <si>
    <t>520050</t>
  </si>
  <si>
    <t>Campuskino Ausgaben</t>
  </si>
  <si>
    <t>58</t>
  </si>
  <si>
    <t>Fahrradwerkstatt</t>
  </si>
  <si>
    <t>58 01</t>
  </si>
  <si>
    <t>440031</t>
  </si>
  <si>
    <t>Material für Fahrradwerkstatt Einnahmen</t>
  </si>
  <si>
    <t>520031</t>
  </si>
  <si>
    <t>Material für Fahrradwerkstatt Ausgaben</t>
  </si>
  <si>
    <t>59</t>
  </si>
  <si>
    <t>Technik-Nutzung</t>
  </si>
  <si>
    <t>59 01</t>
  </si>
  <si>
    <t>483210</t>
  </si>
  <si>
    <t>Technik-Nutzungsentgelte</t>
  </si>
  <si>
    <t>483610</t>
  </si>
  <si>
    <t>Miete Technik 19%</t>
  </si>
  <si>
    <t>6</t>
  </si>
  <si>
    <t>Personal</t>
  </si>
  <si>
    <t>61</t>
  </si>
  <si>
    <t>Lohn</t>
  </si>
  <si>
    <t>61 01</t>
  </si>
  <si>
    <t>600000</t>
  </si>
  <si>
    <t>Abteilung 1</t>
  </si>
  <si>
    <t>61 02</t>
  </si>
  <si>
    <t>600009</t>
  </si>
  <si>
    <t>Abteilung 2 -6 Lohnsteuerfrei AE</t>
  </si>
  <si>
    <t>603500</t>
  </si>
  <si>
    <t>Abteilung 2-6 Sonstige AE</t>
  </si>
  <si>
    <t>606000</t>
  </si>
  <si>
    <t>Aufmerksamkeiten an Mitarbeiter lstpfl</t>
  </si>
  <si>
    <t>62</t>
  </si>
  <si>
    <t>Lohnnebenkosten</t>
  </si>
  <si>
    <t>62 01</t>
  </si>
  <si>
    <t>611000</t>
  </si>
  <si>
    <t>Gesetzliche soz. Aufwendungen</t>
  </si>
  <si>
    <t>611001</t>
  </si>
  <si>
    <t>AGG Krankenkasse</t>
  </si>
  <si>
    <t>615000</t>
  </si>
  <si>
    <t>VBLU</t>
  </si>
  <si>
    <t>617001</t>
  </si>
  <si>
    <t>KSK</t>
  </si>
  <si>
    <t>608000</t>
  </si>
  <si>
    <t>Vermögenswirksame Leistungen</t>
  </si>
  <si>
    <t>62 02</t>
  </si>
  <si>
    <t>603900</t>
  </si>
  <si>
    <t>Steuern und Kindergeld</t>
  </si>
  <si>
    <t>7</t>
  </si>
  <si>
    <t>Sachkosten</t>
  </si>
  <si>
    <t>71</t>
  </si>
  <si>
    <t>Geschäftsbedarf</t>
  </si>
  <si>
    <t>71 01</t>
  </si>
  <si>
    <t>681500</t>
  </si>
  <si>
    <t>Verbrauchsmaterialien</t>
  </si>
  <si>
    <t>71 02</t>
  </si>
  <si>
    <t>681520</t>
  </si>
  <si>
    <t>Druck- und Bindekosten</t>
  </si>
  <si>
    <t>71 03</t>
  </si>
  <si>
    <t>683000</t>
  </si>
  <si>
    <t>Buchhaltung</t>
  </si>
  <si>
    <t>71 04</t>
  </si>
  <si>
    <t>449000</t>
  </si>
  <si>
    <t>sonstiger Geschäftsbedarf Einnahmen</t>
  </si>
  <si>
    <t>529000</t>
  </si>
  <si>
    <t>sonstiger Geschäftsbedarf Ausgaben</t>
  </si>
  <si>
    <t>72</t>
  </si>
  <si>
    <t>Bücher &amp; Medien</t>
  </si>
  <si>
    <t>72 01</t>
  </si>
  <si>
    <t>682000</t>
  </si>
  <si>
    <t>73</t>
  </si>
  <si>
    <t>Kommunikation</t>
  </si>
  <si>
    <t>73 01</t>
  </si>
  <si>
    <t>680500</t>
  </si>
  <si>
    <t>Telefongebühren</t>
  </si>
  <si>
    <t>73 02</t>
  </si>
  <si>
    <t>680000</t>
  </si>
  <si>
    <t>Portokosten</t>
  </si>
  <si>
    <t>73 03</t>
  </si>
  <si>
    <t>649500</t>
  </si>
  <si>
    <t>IT-Support/Wartungskosten Hard und Software</t>
  </si>
  <si>
    <t>74</t>
  </si>
  <si>
    <t>Ausstattung &amp; Geräte</t>
  </si>
  <si>
    <t>74 01</t>
  </si>
  <si>
    <t>630402</t>
  </si>
  <si>
    <t>Ausstattungen und Geräte bis 150 Euro</t>
  </si>
  <si>
    <t>67000</t>
  </si>
  <si>
    <t>Ausstattungen und Geräte über 150 bis 800 Euro</t>
  </si>
  <si>
    <t>50000</t>
  </si>
  <si>
    <t>Ausstattungen und Geräte über 800 Euro</t>
  </si>
  <si>
    <t>74 04</t>
  </si>
  <si>
    <t>646000</t>
  </si>
  <si>
    <t>Reparaturen &amp; Unterhalt</t>
  </si>
  <si>
    <t>75</t>
  </si>
  <si>
    <t>Repräsentation &amp; Bewirtung</t>
  </si>
  <si>
    <t>75 01</t>
  </si>
  <si>
    <t>483000</t>
  </si>
  <si>
    <t>Repräsentation Einnahme</t>
  </si>
  <si>
    <t>663000</t>
  </si>
  <si>
    <t>Repräsentation Ausgabe</t>
  </si>
  <si>
    <t>75 02</t>
  </si>
  <si>
    <t>664300</t>
  </si>
  <si>
    <t>Aufmerksamkeiten an Referent*innen</t>
  </si>
  <si>
    <t>664320</t>
  </si>
  <si>
    <t>Aufmerksamkeiten an Dritte</t>
  </si>
  <si>
    <t>75 03</t>
  </si>
  <si>
    <t>664000</t>
  </si>
  <si>
    <t>Bewirtung</t>
  </si>
  <si>
    <t>76</t>
  </si>
  <si>
    <t>Prozess- und Beratungskosten</t>
  </si>
  <si>
    <t>76 01</t>
  </si>
  <si>
    <t>682500</t>
  </si>
  <si>
    <t>Anwalts- und Gerichtskosten</t>
  </si>
  <si>
    <t>76 02</t>
  </si>
  <si>
    <t>682700</t>
  </si>
  <si>
    <t>Beratungs- und Gutachtenkosten/Steuererklärung</t>
  </si>
  <si>
    <t>77</t>
  </si>
  <si>
    <t>Versicherungen &amp; Mitgliedschaften</t>
  </si>
  <si>
    <t>77 01</t>
  </si>
  <si>
    <t>640000</t>
  </si>
  <si>
    <t>Versicherungen</t>
  </si>
  <si>
    <t>77 02</t>
  </si>
  <si>
    <t>643030</t>
  </si>
  <si>
    <t>77 03</t>
  </si>
  <si>
    <t>642000</t>
  </si>
  <si>
    <t>Mitgliedschaften</t>
  </si>
  <si>
    <t>77 04</t>
  </si>
  <si>
    <t>630054</t>
  </si>
  <si>
    <t>Sicherheitskosten</t>
  </si>
  <si>
    <t>77 05</t>
  </si>
  <si>
    <t>630055</t>
  </si>
  <si>
    <t>Datenschutz</t>
  </si>
  <si>
    <t>78</t>
  </si>
  <si>
    <t>Reise- &amp; Tagungs- und Fortbildungskosten</t>
  </si>
  <si>
    <t>78 01</t>
  </si>
  <si>
    <t>665000</t>
  </si>
  <si>
    <t>79</t>
  </si>
  <si>
    <t>Wahlen und Urabstimmungen</t>
  </si>
  <si>
    <t>79 01</t>
  </si>
  <si>
    <t>630051</t>
  </si>
  <si>
    <t>8</t>
  </si>
  <si>
    <t>Zuweisungen an Organe der Studierendenschaft</t>
  </si>
  <si>
    <t>81</t>
  </si>
  <si>
    <t>Zuweisungen an Fachschaften / Kostenstellen in der Buchhaltung</t>
  </si>
  <si>
    <t>81 01</t>
  </si>
  <si>
    <t>499901</t>
  </si>
  <si>
    <t>Anglistik Einnahmen</t>
  </si>
  <si>
    <t>699101</t>
  </si>
  <si>
    <t>Anglistik Ausgaben</t>
  </si>
  <si>
    <t>81 02</t>
  </si>
  <si>
    <t>499902</t>
  </si>
  <si>
    <t>Antike Kultur und Klassische Philologie Einnahmen</t>
  </si>
  <si>
    <t>699102</t>
  </si>
  <si>
    <t>Antike Kultur und Klassische Philologie Ausgaben</t>
  </si>
  <si>
    <t>81 03</t>
  </si>
  <si>
    <t>499903</t>
  </si>
  <si>
    <t>BWL und VWL Einnahmen</t>
  </si>
  <si>
    <t>699103</t>
  </si>
  <si>
    <t>BWL und VWL Ausgaben</t>
  </si>
  <si>
    <t>81 04</t>
  </si>
  <si>
    <t>499904</t>
  </si>
  <si>
    <t>Biochemie Einnahmen</t>
  </si>
  <si>
    <t>699104</t>
  </si>
  <si>
    <t>Biochemie Ausgaben</t>
  </si>
  <si>
    <t>81 05</t>
  </si>
  <si>
    <t>499905</t>
  </si>
  <si>
    <t>Biologie Einnahmen</t>
  </si>
  <si>
    <t>699105</t>
  </si>
  <si>
    <t>Biologie Ausgaben</t>
  </si>
  <si>
    <t>81 06</t>
  </si>
  <si>
    <t>499906</t>
  </si>
  <si>
    <t>Chemie Einnahmen</t>
  </si>
  <si>
    <t>699106</t>
  </si>
  <si>
    <t>Chemie Ausgaben</t>
  </si>
  <si>
    <t>81 07</t>
  </si>
  <si>
    <t>499907</t>
  </si>
  <si>
    <t>Germanistik Einnahmen</t>
  </si>
  <si>
    <t>699107</t>
  </si>
  <si>
    <t>Germanistik Ausgaben</t>
  </si>
  <si>
    <t>81 08</t>
  </si>
  <si>
    <t>499908</t>
  </si>
  <si>
    <t>Geschichte Einnahmen</t>
  </si>
  <si>
    <t>699108</t>
  </si>
  <si>
    <t>Geschichte Ausgaben</t>
  </si>
  <si>
    <t>81 09</t>
  </si>
  <si>
    <t>499909</t>
  </si>
  <si>
    <t>Informatik Einnahmen</t>
  </si>
  <si>
    <t>699109</t>
  </si>
  <si>
    <t>Informatik Ausgaben</t>
  </si>
  <si>
    <t>81 11</t>
  </si>
  <si>
    <t>499911</t>
  </si>
  <si>
    <t>Jüdische Studien und Jiddistik Einnahmen</t>
  </si>
  <si>
    <t>699111</t>
  </si>
  <si>
    <t>Jüdische Studien und Jiddistik Ausgaben</t>
  </si>
  <si>
    <t>81 12</t>
  </si>
  <si>
    <t>499912</t>
  </si>
  <si>
    <t>Jura Einnahmen</t>
  </si>
  <si>
    <t>699112</t>
  </si>
  <si>
    <t>Jura Ausgaben</t>
  </si>
  <si>
    <t>81 13</t>
  </si>
  <si>
    <t>499913</t>
  </si>
  <si>
    <t>Kunstgeschichte Einnahmen</t>
  </si>
  <si>
    <t>699113</t>
  </si>
  <si>
    <t>Kunstgeschichte Ausgaben</t>
  </si>
  <si>
    <t>81 14</t>
  </si>
  <si>
    <t>499914</t>
  </si>
  <si>
    <t>Linguistik &amp; Computerlinguistik Einnahmen</t>
  </si>
  <si>
    <t>699114</t>
  </si>
  <si>
    <t>Linguistik &amp; Computerlinguistik Ausgaben</t>
  </si>
  <si>
    <t>81 15</t>
  </si>
  <si>
    <t>499915</t>
  </si>
  <si>
    <t>Literaturübersetzen und Las Americas Einnahmen</t>
  </si>
  <si>
    <t>699115</t>
  </si>
  <si>
    <t>Literaturübersetzen und Las Americas Ausgaben</t>
  </si>
  <si>
    <t>81 16</t>
  </si>
  <si>
    <t>499916</t>
  </si>
  <si>
    <t>Mathematik Einnahmen</t>
  </si>
  <si>
    <t>699116</t>
  </si>
  <si>
    <t>Mathematik Ausgaben</t>
  </si>
  <si>
    <t>81 17</t>
  </si>
  <si>
    <t>499917</t>
  </si>
  <si>
    <t>Medien- und Kulturwissenschaft Einnahmen</t>
  </si>
  <si>
    <t>699117</t>
  </si>
  <si>
    <t>Medien- und Kulturwissenschaft Ausgaben</t>
  </si>
  <si>
    <t>81 18</t>
  </si>
  <si>
    <t>499918</t>
  </si>
  <si>
    <t>Medienwissenschaft Einnahmen</t>
  </si>
  <si>
    <t>699118</t>
  </si>
  <si>
    <t>Medienwissenschaft Ausgaben</t>
  </si>
  <si>
    <t>81 19</t>
  </si>
  <si>
    <t>499919</t>
  </si>
  <si>
    <t>Medizin Einnahmen</t>
  </si>
  <si>
    <t>699119</t>
  </si>
  <si>
    <t>Medizin Ausgaben</t>
  </si>
  <si>
    <t>81 20</t>
  </si>
  <si>
    <t>499920</t>
  </si>
  <si>
    <t>Modernes Japan Einnahmen</t>
  </si>
  <si>
    <t>699120</t>
  </si>
  <si>
    <t>Modernes Japan Ausgaben</t>
  </si>
  <si>
    <t>81 21</t>
  </si>
  <si>
    <t>499921</t>
  </si>
  <si>
    <t>Musikwissenschaft Einnahmen</t>
  </si>
  <si>
    <t>699121</t>
  </si>
  <si>
    <t>Musikwissenschaft Ausgaben</t>
  </si>
  <si>
    <t>81 22</t>
  </si>
  <si>
    <t>499922</t>
  </si>
  <si>
    <t>Pharmazie Einnahmen</t>
  </si>
  <si>
    <t>699122</t>
  </si>
  <si>
    <t>Pharmazie Ausgaben</t>
  </si>
  <si>
    <t>81 23</t>
  </si>
  <si>
    <t>499923</t>
  </si>
  <si>
    <t>Philosophie Einnahmen</t>
  </si>
  <si>
    <t>699123</t>
  </si>
  <si>
    <t>Philosophie Ausgaben</t>
  </si>
  <si>
    <t>81 24</t>
  </si>
  <si>
    <t>499924</t>
  </si>
  <si>
    <t>Physik und Medizinische Physik Einnahmen</t>
  </si>
  <si>
    <t>699124</t>
  </si>
  <si>
    <t>Physik und Medizinische Physik Ausgaben</t>
  </si>
  <si>
    <t>81 25</t>
  </si>
  <si>
    <t>499925</t>
  </si>
  <si>
    <t>Politikwissenschaft Einnahmen</t>
  </si>
  <si>
    <t>699125</t>
  </si>
  <si>
    <t>Politikwissenschaft Ausgaben</t>
  </si>
  <si>
    <t>81 26</t>
  </si>
  <si>
    <t>499926</t>
  </si>
  <si>
    <t>Psychologie Einnahmen</t>
  </si>
  <si>
    <t>699126</t>
  </si>
  <si>
    <t>Psychologie Ausgaben</t>
  </si>
  <si>
    <t>81 27</t>
  </si>
  <si>
    <t>499927</t>
  </si>
  <si>
    <t>Romanistik Einnahmen</t>
  </si>
  <si>
    <t>699127</t>
  </si>
  <si>
    <t>Romanistik Ausgaben</t>
  </si>
  <si>
    <t>81 28</t>
  </si>
  <si>
    <t>499928</t>
  </si>
  <si>
    <t>Sozialwissenschaften und Soziologie Einnahmen</t>
  </si>
  <si>
    <t>699128</t>
  </si>
  <si>
    <t>Sozialwissenschaften und Soziologie Ausgaben</t>
  </si>
  <si>
    <t>81 29</t>
  </si>
  <si>
    <t>499929</t>
  </si>
  <si>
    <t>Toxikologie Einnahmen</t>
  </si>
  <si>
    <t>699129</t>
  </si>
  <si>
    <t>Toxikologie Ausgaben</t>
  </si>
  <si>
    <t>81 30</t>
  </si>
  <si>
    <t>499930</t>
  </si>
  <si>
    <t>Wirtschaftschemie Einnahmen</t>
  </si>
  <si>
    <t>699130</t>
  </si>
  <si>
    <t>Wirtschaftschemie Ausgaben</t>
  </si>
  <si>
    <t>81 31</t>
  </si>
  <si>
    <t>499931</t>
  </si>
  <si>
    <t>Zahnmedizin Einnahmen</t>
  </si>
  <si>
    <t>699131</t>
  </si>
  <si>
    <t>Zahnmedizin Ausgaben</t>
  </si>
  <si>
    <t>81 32</t>
  </si>
  <si>
    <t>499932</t>
  </si>
  <si>
    <t>Inphima-Gemeinschaftskasse Einnahmen</t>
  </si>
  <si>
    <t>699132</t>
  </si>
  <si>
    <t>Inphima-Gemeinschaftskasse Ausgaben</t>
  </si>
  <si>
    <t>81 33</t>
  </si>
  <si>
    <t>499933</t>
  </si>
  <si>
    <t>Philosophy, Politics and Economics Einnahmen</t>
  </si>
  <si>
    <t>699133</t>
  </si>
  <si>
    <t>Philosophy, Politics and Economics Ausgaben</t>
  </si>
  <si>
    <t>81 34</t>
  </si>
  <si>
    <t>499934</t>
  </si>
  <si>
    <t>Naturwissenschaften Einnahmen</t>
  </si>
  <si>
    <t>699134</t>
  </si>
  <si>
    <t>Naturwissenschaften Ausgaben</t>
  </si>
  <si>
    <t>81 35</t>
  </si>
  <si>
    <t>499935</t>
  </si>
  <si>
    <t>Transkulturalität Einnahmen</t>
  </si>
  <si>
    <t>699135</t>
  </si>
  <si>
    <t>Transkulturalität Ausgaben</t>
  </si>
  <si>
    <t>82</t>
  </si>
  <si>
    <t>Zuweisungen an Referate des AStA / Kostenstellen in der Buchhaltung</t>
  </si>
  <si>
    <t>82 01</t>
  </si>
  <si>
    <t>499203</t>
  </si>
  <si>
    <t>Frauenreferat Einnahmen</t>
  </si>
  <si>
    <t>699203</t>
  </si>
  <si>
    <t>Frauenreferat Ausgaben</t>
  </si>
  <si>
    <t>82 02</t>
  </si>
  <si>
    <t>499209</t>
  </si>
  <si>
    <t>LesBi-Referat Einnahmen</t>
  </si>
  <si>
    <t>699209</t>
  </si>
  <si>
    <t>LesBi-Referat Ausgaben</t>
  </si>
  <si>
    <t>82 03</t>
  </si>
  <si>
    <t>499214</t>
  </si>
  <si>
    <t>Referat für bisexuelle und schwule Studierende Einnahmen</t>
  </si>
  <si>
    <t>699214</t>
  </si>
  <si>
    <t>Referat für bisexuelle und schwule Studierende Ausgaben</t>
  </si>
  <si>
    <t>82 04</t>
  </si>
  <si>
    <t>499213</t>
  </si>
  <si>
    <t>IStRef Einnahmen</t>
  </si>
  <si>
    <t>699213</t>
  </si>
  <si>
    <t>IStRef Ausgaben</t>
  </si>
  <si>
    <t>82 05</t>
  </si>
  <si>
    <t>499201</t>
  </si>
  <si>
    <t>Fachschaftenreferat Einnahmen</t>
  </si>
  <si>
    <t>699201</t>
  </si>
  <si>
    <t>Fachschaftenreferat Ausgaben</t>
  </si>
  <si>
    <t>82 06</t>
  </si>
  <si>
    <t>499212</t>
  </si>
  <si>
    <t>Referat für Barrierefreiheit Einnahmen</t>
  </si>
  <si>
    <t>699212</t>
  </si>
  <si>
    <t>Referat für Barrierefreiheit Ausgaben</t>
  </si>
  <si>
    <t>82 07</t>
  </si>
  <si>
    <t>499217</t>
  </si>
  <si>
    <t>Referat für trans, inter und nicht binäre Studierende Einnahmen</t>
  </si>
  <si>
    <t>699217</t>
  </si>
  <si>
    <t>Referat für trans, inter und nicht binäre Studierende Ausgaben</t>
  </si>
  <si>
    <t>83</t>
  </si>
  <si>
    <t>Zuweisungen an das Studierendenparlament</t>
  </si>
  <si>
    <t>83 01</t>
  </si>
  <si>
    <t>685001</t>
  </si>
  <si>
    <t>SP-Projektunterstützung</t>
  </si>
  <si>
    <t>9</t>
  </si>
  <si>
    <t>Zuwendungen an Organe außerhalb der Studierendenschaft</t>
  </si>
  <si>
    <t>91</t>
  </si>
  <si>
    <t>Zuwendungen an inneruniversitäre Vereinigungen</t>
  </si>
  <si>
    <t>91 01</t>
  </si>
  <si>
    <t>685002</t>
  </si>
  <si>
    <t>Universitätsorchester</t>
  </si>
  <si>
    <t>91 02</t>
  </si>
  <si>
    <t>685003</t>
  </si>
  <si>
    <t>Studierendenchor</t>
  </si>
  <si>
    <t>91 03</t>
  </si>
  <si>
    <t>685004</t>
  </si>
  <si>
    <t>Andere inneruniversitäre Vereinigungen</t>
  </si>
  <si>
    <t>99</t>
  </si>
  <si>
    <t>Sonstiges</t>
  </si>
  <si>
    <t>99 01</t>
  </si>
  <si>
    <t>483500</t>
  </si>
  <si>
    <t>Sonstige betriebliche Erträge</t>
  </si>
  <si>
    <t>630000</t>
  </si>
  <si>
    <t>Sonstige betriebliche Aufwendungen</t>
  </si>
  <si>
    <t>Gesamt:</t>
  </si>
  <si>
    <t>Unterhaushalt Semesterticket</t>
  </si>
  <si>
    <t>zum Haushalt der Studierendenschaft der Heinrich-Heine-Universität für das Haushaltsjahr 2023</t>
  </si>
  <si>
    <t>Ansatz WS akt.</t>
  </si>
  <si>
    <t>Ansatz WS folg.</t>
  </si>
  <si>
    <t>3</t>
  </si>
  <si>
    <t>Semesterticket</t>
  </si>
  <si>
    <t>30</t>
  </si>
  <si>
    <t>Überschuss Semesterticket</t>
  </si>
  <si>
    <t>30 01</t>
  </si>
  <si>
    <t>297020</t>
  </si>
  <si>
    <t>31</t>
  </si>
  <si>
    <t>WS aktuelles HHJ</t>
  </si>
  <si>
    <t>31 01</t>
  </si>
  <si>
    <t>307012</t>
  </si>
  <si>
    <t>Rückstellungen VRR-Ticket Einnahmen</t>
  </si>
  <si>
    <t>190017</t>
  </si>
  <si>
    <t>Rückstellungen VRR-Ticket Ausgaben</t>
  </si>
  <si>
    <t>31 02</t>
  </si>
  <si>
    <t>307013</t>
  </si>
  <si>
    <t>Rückstellungen NRW-Ticket Einnahmen</t>
  </si>
  <si>
    <t>190018</t>
  </si>
  <si>
    <t>Rückstellungen NRW-Ticket Ausgaben</t>
  </si>
  <si>
    <t>31 03</t>
  </si>
  <si>
    <t>405010</t>
  </si>
  <si>
    <t>Einnahmen VRR-Ticket</t>
  </si>
  <si>
    <t>630710</t>
  </si>
  <si>
    <t>Ausgaben VRR-Ticket</t>
  </si>
  <si>
    <t>31 04</t>
  </si>
  <si>
    <t>405110</t>
  </si>
  <si>
    <t>Einnahmen NRW-Ticket</t>
  </si>
  <si>
    <t>630810</t>
  </si>
  <si>
    <t>Ausgaben NRW-Ticket</t>
  </si>
  <si>
    <t>31 05</t>
  </si>
  <si>
    <t>405111</t>
  </si>
  <si>
    <t>Erstattungen</t>
  </si>
  <si>
    <t>32</t>
  </si>
  <si>
    <t>SS aktuelles HHJ</t>
  </si>
  <si>
    <t>32 01</t>
  </si>
  <si>
    <t>405020</t>
  </si>
  <si>
    <t>630720</t>
  </si>
  <si>
    <t>32 02</t>
  </si>
  <si>
    <t>405120</t>
  </si>
  <si>
    <t>630820</t>
  </si>
  <si>
    <t>32 03</t>
  </si>
  <si>
    <t>307014</t>
  </si>
  <si>
    <t>190015</t>
  </si>
  <si>
    <t>32 04</t>
  </si>
  <si>
    <t>307015</t>
  </si>
  <si>
    <t>190016</t>
  </si>
  <si>
    <t>32 05</t>
  </si>
  <si>
    <t>405121</t>
  </si>
  <si>
    <t>33</t>
  </si>
  <si>
    <t>WS folgendes HHJ</t>
  </si>
  <si>
    <t>33 01</t>
  </si>
  <si>
    <t>307016</t>
  </si>
  <si>
    <t>190013</t>
  </si>
  <si>
    <t>33 02</t>
  </si>
  <si>
    <t>307017</t>
  </si>
  <si>
    <t>190014</t>
  </si>
  <si>
    <t>33 03</t>
  </si>
  <si>
    <t>405030</t>
  </si>
  <si>
    <t>630730</t>
  </si>
  <si>
    <t>33 04</t>
  </si>
  <si>
    <t>33 05</t>
  </si>
  <si>
    <t>405112</t>
  </si>
  <si>
    <t>Erstattungen Einnahmen</t>
  </si>
  <si>
    <t>34</t>
  </si>
  <si>
    <t>Vorauszahlungen</t>
  </si>
  <si>
    <t>34 01</t>
  </si>
  <si>
    <t>394001</t>
  </si>
  <si>
    <t>Vorauszahlungen VRR-Ticket</t>
  </si>
  <si>
    <t>34 02</t>
  </si>
  <si>
    <t>394002</t>
  </si>
  <si>
    <t>Vorauszahlungen NRW-Ticket</t>
  </si>
  <si>
    <t>Vermögensübersicht der Studierendenschaft der Heinrich-Heine-Universität Düsseldorf zum 31.12.</t>
  </si>
  <si>
    <t>Rumpf 2019</t>
  </si>
  <si>
    <t>HHJ 2020</t>
  </si>
  <si>
    <t>HHJ 2021</t>
  </si>
  <si>
    <t>HHJ 2022</t>
  </si>
  <si>
    <t>HHJ 2023</t>
  </si>
  <si>
    <t>Girokonto AStA</t>
  </si>
  <si>
    <t>Girokonto Fachschaften</t>
  </si>
  <si>
    <t>Barkasse AStA</t>
  </si>
  <si>
    <t>Girokonto Semesterticket</t>
  </si>
  <si>
    <t>Termingelder AStA+FS *</t>
  </si>
  <si>
    <t>Termingelder Semesterticket **</t>
  </si>
  <si>
    <t>Barkasse Kultur</t>
  </si>
  <si>
    <t>Girokonto Sozialfonds</t>
  </si>
  <si>
    <t>Summe</t>
  </si>
  <si>
    <t>Studierendenbeiträge</t>
  </si>
  <si>
    <t>Sozialfonds</t>
  </si>
  <si>
    <t>Sozialzuschlag Semesterticket</t>
  </si>
  <si>
    <t>Studierendenbeiträge Radio+Sport ***</t>
  </si>
  <si>
    <t>Gesamt</t>
  </si>
  <si>
    <t>Fachschaftsgelder</t>
  </si>
  <si>
    <t>Nextbike</t>
  </si>
  <si>
    <t xml:space="preserve"> ./. Ausstehende Semesterticketrechnungen des vorh. HHJ</t>
  </si>
  <si>
    <t>./. noch zu leistende Zahlungen aus Semtick Beiträgen
des aktuellen HHJ</t>
  </si>
  <si>
    <t xml:space="preserve"> + Zuführung zur Betriebsmittelrücklage</t>
  </si>
  <si>
    <t xml:space="preserve"> + Restzahlung Sozialbeitrag SoSe verg. HHJ</t>
  </si>
  <si>
    <t>Bereinigter Überschuss</t>
  </si>
  <si>
    <t xml:space="preserve"> +  Mehrzahlungen an Rhb.</t>
  </si>
  <si>
    <t>Betriebsmittelrücklage AStA</t>
  </si>
  <si>
    <t>Rücklage SP-Saal+Inventar</t>
  </si>
  <si>
    <t>Tagesgeldkonto Sozialfonds</t>
  </si>
  <si>
    <t>Restdarlehen Hochschulradio</t>
  </si>
  <si>
    <t>ca. 19.300,00 €</t>
  </si>
  <si>
    <t>Referat</t>
  </si>
  <si>
    <t>Anzahl</t>
  </si>
  <si>
    <t>Schlüssel</t>
  </si>
  <si>
    <t xml:space="preserve"> pro Monat </t>
  </si>
  <si>
    <t>pro HHJ</t>
  </si>
  <si>
    <t>Festangestelltes Personal</t>
  </si>
  <si>
    <t>Integrierte</t>
  </si>
  <si>
    <t>Fest Kultur</t>
  </si>
  <si>
    <t>Vorstand</t>
  </si>
  <si>
    <t>A7</t>
  </si>
  <si>
    <t>AStA-Festangestellt</t>
  </si>
  <si>
    <t>Finanzreferat</t>
  </si>
  <si>
    <t>A5</t>
  </si>
  <si>
    <t>Budgetberatung</t>
  </si>
  <si>
    <t>A3</t>
  </si>
  <si>
    <t>Reinigungspersonal</t>
  </si>
  <si>
    <t>Referat für politische Bildung:</t>
  </si>
  <si>
    <t>AntiFaRaDis</t>
  </si>
  <si>
    <t>Sozialreferat</t>
  </si>
  <si>
    <t>Campus Kino</t>
  </si>
  <si>
    <t>A2</t>
  </si>
  <si>
    <t>Nachhaltigkeit und Mobilität</t>
  </si>
  <si>
    <t>Presse und Öffentlichkeit</t>
  </si>
  <si>
    <t>IT</t>
  </si>
  <si>
    <t xml:space="preserve">Personalkosten pro Jahr: </t>
  </si>
  <si>
    <t>Gesamtkosten Integrierte:</t>
  </si>
  <si>
    <t>Autonome</t>
  </si>
  <si>
    <t xml:space="preserve">AStA-Mitglieder Gesamt: </t>
  </si>
  <si>
    <t>Projektstellen und Einarbeitungs AE</t>
  </si>
  <si>
    <t>Ausschüsse (SP)</t>
  </si>
  <si>
    <t>Präsidium</t>
  </si>
  <si>
    <t>FPA</t>
  </si>
  <si>
    <t>Wahlausschuss</t>
  </si>
  <si>
    <r>
      <rPr>
        <b/>
        <sz val="14"/>
        <color theme="1"/>
        <rFont val="Calibri"/>
        <family val="2"/>
        <scheme val="minor"/>
      </rPr>
      <t>Gesamt</t>
    </r>
    <r>
      <rPr>
        <sz val="11"/>
        <color theme="1"/>
        <rFont val="Calibri"/>
        <family val="2"/>
        <scheme val="minor"/>
      </rPr>
      <t xml:space="preserve">: </t>
    </r>
  </si>
  <si>
    <t xml:space="preserve">Steuerfrei: </t>
  </si>
  <si>
    <t>Minijob: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</si>
</sst>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* #,##0.00\ &quot;€&quot;_-;\-* #,##0.00\ &quot;€&quot;_-;_-* &quot;-&quot;??\ &quot;€&quot;_-;_-@_-"/>
    <numFmt numFmtId="164" formatCode="#,##0.00&quot; &quot;[$€-407];[Red]&quot;-&quot;#,##0.00&quot; &quot;[$€-407]"/>
    <numFmt numFmtId="165" formatCode="#,##0.00&quot; €&quot;"/>
    <numFmt numFmtId="166" formatCode="#,##0.00&quot; €&quot;;[Red]&quot;-&quot;#,##0.00&quot; €&quot;"/>
    <numFmt numFmtId="167" formatCode="#,##0.00\ &quot;€&quot;"/>
    <numFmt numFmtId="168" formatCode="#,##0.00;[Red]#,##0.00"/>
  </numFmts>
  <fonts count="40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name val="Calibri1"/>
    </font>
    <font>
      <sz val="11"/>
      <color indexed="65"/>
      <name val="Calibri1"/>
    </font>
    <font>
      <b/>
      <sz val="11"/>
      <color indexed="63"/>
      <name val="Calibri1"/>
    </font>
    <font>
      <b/>
      <sz val="11"/>
      <color indexed="52"/>
      <name val="Calibri1"/>
    </font>
    <font>
      <sz val="11"/>
      <color indexed="62"/>
      <name val="Calibri1"/>
    </font>
    <font>
      <b/>
      <sz val="11"/>
      <name val="Calibri1"/>
    </font>
    <font>
      <i/>
      <sz val="11"/>
      <color indexed="23"/>
      <name val="Calibri1"/>
    </font>
    <font>
      <sz val="11"/>
      <color indexed="17"/>
      <name val="Calibri1"/>
    </font>
    <font>
      <b/>
      <i/>
      <sz val="16"/>
      <name val="Verdana"/>
      <family val="2"/>
    </font>
    <font>
      <b/>
      <i/>
      <sz val="16"/>
      <name val="Calibri1"/>
    </font>
    <font>
      <sz val="11"/>
      <color indexed="60"/>
      <name val="Calibri1"/>
    </font>
    <font>
      <sz val="11"/>
      <name val="Verdana"/>
      <family val="2"/>
    </font>
    <font>
      <b/>
      <i/>
      <u/>
      <sz val="11"/>
      <name val="Verdana"/>
      <family val="2"/>
    </font>
    <font>
      <b/>
      <i/>
      <u/>
      <sz val="11"/>
      <name val="Calibri1"/>
    </font>
    <font>
      <sz val="11"/>
      <color indexed="20"/>
      <name val="Calibri1"/>
    </font>
    <font>
      <b/>
      <sz val="15"/>
      <color indexed="56"/>
      <name val="Calibri1"/>
    </font>
    <font>
      <b/>
      <sz val="13"/>
      <color indexed="56"/>
      <name val="Calibri1"/>
    </font>
    <font>
      <b/>
      <sz val="11"/>
      <color indexed="56"/>
      <name val="Calibri1"/>
    </font>
    <font>
      <b/>
      <sz val="18"/>
      <color indexed="56"/>
      <name val="Cambria"/>
      <family val="1"/>
    </font>
    <font>
      <sz val="11"/>
      <color indexed="52"/>
      <name val="Calibri1"/>
    </font>
    <font>
      <sz val="11"/>
      <color indexed="2"/>
      <name val="Calibri1"/>
    </font>
    <font>
      <b/>
      <sz val="11"/>
      <color indexed="65"/>
      <name val="Calibri1"/>
    </font>
    <font>
      <sz val="11"/>
      <color rgb="FF9C650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4"/>
      <name val="Calibri"/>
      <family val="2"/>
    </font>
    <font>
      <sz val="11"/>
      <name val="Calibri"/>
      <family val="2"/>
    </font>
    <font>
      <b/>
      <sz val="16"/>
      <name val="Calibri"/>
      <family val="2"/>
    </font>
    <font>
      <b/>
      <sz val="11"/>
      <name val="Calibri"/>
      <family val="2"/>
    </font>
    <font>
      <b/>
      <sz val="11"/>
      <color indexed="2"/>
      <name val="Calibri"/>
      <family val="2"/>
    </font>
    <font>
      <b/>
      <sz val="11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31"/>
        <bgColor indexed="31"/>
      </patternFill>
    </fill>
    <fill>
      <patternFill patternType="solid">
        <fgColor indexed="45"/>
        <bgColor indexed="45"/>
      </patternFill>
    </fill>
    <fill>
      <patternFill patternType="solid">
        <fgColor indexed="42"/>
        <bgColor indexed="42"/>
      </patternFill>
    </fill>
    <fill>
      <patternFill patternType="solid">
        <fgColor indexed="46"/>
        <bgColor indexed="46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solid">
        <fgColor indexed="44"/>
        <bgColor indexed="44"/>
      </patternFill>
    </fill>
    <fill>
      <patternFill patternType="solid">
        <fgColor indexed="29"/>
        <bgColor indexed="29"/>
      </patternFill>
    </fill>
    <fill>
      <patternFill patternType="solid">
        <fgColor indexed="3"/>
        <bgColor indexed="3"/>
      </patternFill>
    </fill>
    <fill>
      <patternFill patternType="solid">
        <fgColor indexed="51"/>
        <bgColor indexed="51"/>
      </patternFill>
    </fill>
    <fill>
      <patternFill patternType="solid">
        <fgColor indexed="30"/>
        <bgColor indexed="30"/>
      </patternFill>
    </fill>
    <fill>
      <patternFill patternType="solid">
        <fgColor indexed="20"/>
        <bgColor indexed="20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solid">
        <fgColor indexed="62"/>
        <bgColor indexed="62"/>
      </patternFill>
    </fill>
    <fill>
      <patternFill patternType="solid">
        <fgColor indexed="2"/>
        <bgColor indexed="2"/>
      </patternFill>
    </fill>
    <fill>
      <patternFill patternType="solid">
        <fgColor indexed="57"/>
        <bgColor indexed="57"/>
      </patternFill>
    </fill>
    <fill>
      <patternFill patternType="solid">
        <fgColor indexed="53"/>
        <bgColor indexed="53"/>
      </patternFill>
    </fill>
    <fill>
      <patternFill patternType="solid">
        <fgColor indexed="22"/>
        <bgColor indexed="22"/>
      </patternFill>
    </fill>
    <fill>
      <patternFill patternType="solid">
        <fgColor indexed="43"/>
        <bgColor indexed="43"/>
      </patternFill>
    </fill>
    <fill>
      <patternFill patternType="solid">
        <fgColor indexed="26"/>
        <bgColor indexed="26"/>
      </patternFill>
    </fill>
    <fill>
      <patternFill patternType="solid">
        <fgColor indexed="55"/>
        <bgColor indexed="55"/>
      </patternFill>
    </fill>
    <fill>
      <patternFill patternType="solid">
        <fgColor rgb="FFFFEB9C"/>
        <bgColor rgb="FFFFEB9C"/>
      </patternFill>
    </fill>
    <fill>
      <patternFill patternType="solid">
        <fgColor rgb="FFFFC7CE"/>
        <bgColor rgb="FFFFC7CE"/>
      </patternFill>
    </fill>
    <fill>
      <patternFill patternType="solid">
        <fgColor indexed="5"/>
        <bgColor indexed="5"/>
      </patternFill>
    </fill>
    <fill>
      <patternFill patternType="solid">
        <fgColor rgb="FF999999"/>
        <bgColor rgb="FF999999"/>
      </patternFill>
    </fill>
    <fill>
      <patternFill patternType="solid">
        <fgColor rgb="FFCCCCCC"/>
        <bgColor rgb="FFCCCCCC"/>
      </patternFill>
    </fill>
    <fill>
      <patternFill patternType="solid">
        <fgColor theme="0"/>
        <bgColor theme="0"/>
      </patternFill>
    </fill>
    <fill>
      <patternFill patternType="solid">
        <fgColor theme="0" tint="-0.249977111117893"/>
        <bgColor theme="0" tint="-0.249977111117893"/>
      </patternFill>
    </fill>
    <fill>
      <patternFill patternType="solid">
        <fgColor rgb="FFB3B3B3"/>
        <bgColor rgb="FFB3B3B3"/>
      </patternFill>
    </fill>
    <fill>
      <patternFill patternType="solid">
        <fgColor theme="0" tint="-0.34998626667073579"/>
        <bgColor theme="0" tint="-0.499984740745262"/>
      </patternFill>
    </fill>
    <fill>
      <patternFill patternType="solid">
        <fgColor theme="0" tint="-0.34998626667073579"/>
        <bgColor rgb="FFCCCCCC"/>
      </patternFill>
    </fill>
    <fill>
      <patternFill patternType="solid">
        <fgColor theme="0" tint="-0.34998626667073579"/>
        <bgColor indexed="22"/>
      </patternFill>
    </fill>
    <fill>
      <patternFill patternType="solid">
        <fgColor theme="0" tint="-0.14999847407452621"/>
        <bgColor theme="0" tint="-0.14999847407452621"/>
      </patternFill>
    </fill>
  </fills>
  <borders count="24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62"/>
      </bottom>
      <diagonal/>
    </border>
    <border>
      <left/>
      <right/>
      <top/>
      <bottom style="thin">
        <color indexed="22"/>
      </bottom>
      <diagonal/>
    </border>
    <border>
      <left/>
      <right/>
      <top/>
      <bottom style="thin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dashed">
        <color theme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</borders>
  <cellStyleXfs count="56">
    <xf numFmtId="0" fontId="0" fillId="0" borderId="0"/>
    <xf numFmtId="0" fontId="2" fillId="2" borderId="0"/>
    <xf numFmtId="0" fontId="2" fillId="3" borderId="0"/>
    <xf numFmtId="0" fontId="2" fillId="4" borderId="0"/>
    <xf numFmtId="0" fontId="2" fillId="5" borderId="0"/>
    <xf numFmtId="0" fontId="2" fillId="6" borderId="0"/>
    <xf numFmtId="0" fontId="2" fillId="7" borderId="0"/>
    <xf numFmtId="0" fontId="2" fillId="8" borderId="0"/>
    <xf numFmtId="0" fontId="2" fillId="9" borderId="0"/>
    <xf numFmtId="0" fontId="2" fillId="10" borderId="0"/>
    <xf numFmtId="0" fontId="2" fillId="5" borderId="0"/>
    <xf numFmtId="0" fontId="2" fillId="8" borderId="0"/>
    <xf numFmtId="0" fontId="2" fillId="11" borderId="0"/>
    <xf numFmtId="0" fontId="3" fillId="12" borderId="0"/>
    <xf numFmtId="0" fontId="3" fillId="9" borderId="0"/>
    <xf numFmtId="0" fontId="3" fillId="10" borderId="0"/>
    <xf numFmtId="0" fontId="3" fillId="13" borderId="0"/>
    <xf numFmtId="0" fontId="3" fillId="14" borderId="0"/>
    <xf numFmtId="0" fontId="3" fillId="15" borderId="0"/>
    <xf numFmtId="0" fontId="3" fillId="16" borderId="0"/>
    <xf numFmtId="0" fontId="3" fillId="17" borderId="0"/>
    <xf numFmtId="0" fontId="3" fillId="18" borderId="0"/>
    <xf numFmtId="0" fontId="3" fillId="13" borderId="0"/>
    <xf numFmtId="0" fontId="3" fillId="14" borderId="0"/>
    <xf numFmtId="0" fontId="3" fillId="19" borderId="0"/>
    <xf numFmtId="0" fontId="4" fillId="20" borderId="1"/>
    <xf numFmtId="0" fontId="5" fillId="20" borderId="2"/>
    <xf numFmtId="0" fontId="6" fillId="7" borderId="2"/>
    <xf numFmtId="0" fontId="7" fillId="0" borderId="3"/>
    <xf numFmtId="0" fontId="7" fillId="0" borderId="3"/>
    <xf numFmtId="0" fontId="8" fillId="0" borderId="0"/>
    <xf numFmtId="0" fontId="9" fillId="4" borderId="0"/>
    <xf numFmtId="0" fontId="10" fillId="0" borderId="0">
      <alignment horizontal="center"/>
    </xf>
    <xf numFmtId="0" fontId="11" fillId="0" borderId="0">
      <alignment horizontal="center"/>
    </xf>
    <xf numFmtId="0" fontId="10" fillId="0" borderId="0">
      <alignment horizontal="center" textRotation="90"/>
    </xf>
    <xf numFmtId="0" fontId="11" fillId="0" borderId="0">
      <alignment horizontal="center" textRotation="90"/>
    </xf>
    <xf numFmtId="0" fontId="12" fillId="21" borderId="0"/>
    <xf numFmtId="0" fontId="13" fillId="22" borderId="4"/>
    <xf numFmtId="0" fontId="14" fillId="0" borderId="0"/>
    <xf numFmtId="0" fontId="15" fillId="0" borderId="0"/>
    <xf numFmtId="164" fontId="14" fillId="0" borderId="0"/>
    <xf numFmtId="164" fontId="15" fillId="0" borderId="0"/>
    <xf numFmtId="0" fontId="16" fillId="3" borderId="0"/>
    <xf numFmtId="0" fontId="13" fillId="0" borderId="0"/>
    <xf numFmtId="0" fontId="17" fillId="0" borderId="5"/>
    <xf numFmtId="0" fontId="17" fillId="0" borderId="5"/>
    <xf numFmtId="0" fontId="18" fillId="0" borderId="6"/>
    <xf numFmtId="0" fontId="19" fillId="0" borderId="7"/>
    <xf numFmtId="0" fontId="19" fillId="0" borderId="0"/>
    <xf numFmtId="0" fontId="20" fillId="0" borderId="0"/>
    <xf numFmtId="0" fontId="21" fillId="0" borderId="8"/>
    <xf numFmtId="44" fontId="39" fillId="0" borderId="0" applyFont="0" applyFill="0" applyBorder="0" applyProtection="0"/>
    <xf numFmtId="0" fontId="22" fillId="0" borderId="0"/>
    <xf numFmtId="0" fontId="23" fillId="23" borderId="9"/>
    <xf numFmtId="0" fontId="24" fillId="24" borderId="0" applyNumberFormat="0" applyBorder="0"/>
    <xf numFmtId="0" fontId="25" fillId="25" borderId="0" applyNumberFormat="0" applyBorder="0"/>
  </cellStyleXfs>
  <cellXfs count="136">
    <xf numFmtId="0" fontId="0" fillId="0" borderId="0" xfId="0"/>
    <xf numFmtId="49" fontId="26" fillId="0" borderId="0" xfId="43" applyNumberFormat="1" applyFont="1" applyAlignment="1">
      <alignment vertical="center"/>
    </xf>
    <xf numFmtId="0" fontId="27" fillId="0" borderId="0" xfId="43" applyFont="1" applyAlignment="1">
      <alignment vertical="center"/>
    </xf>
    <xf numFmtId="0" fontId="13" fillId="0" borderId="0" xfId="43"/>
    <xf numFmtId="49" fontId="27" fillId="0" borderId="0" xfId="43" applyNumberFormat="1" applyFont="1" applyAlignment="1">
      <alignment vertical="center"/>
    </xf>
    <xf numFmtId="0" fontId="27" fillId="0" borderId="0" xfId="43" applyFont="1"/>
    <xf numFmtId="3" fontId="27" fillId="26" borderId="0" xfId="43" applyNumberFormat="1" applyFont="1" applyFill="1" applyAlignment="1">
      <alignment vertical="center"/>
    </xf>
    <xf numFmtId="3" fontId="27" fillId="26" borderId="0" xfId="43" applyNumberFormat="1" applyFont="1" applyFill="1"/>
    <xf numFmtId="49" fontId="27" fillId="0" borderId="0" xfId="43" applyNumberFormat="1" applyFont="1" applyAlignment="1">
      <alignment horizontal="left" vertical="center"/>
    </xf>
    <xf numFmtId="49" fontId="28" fillId="0" borderId="10" xfId="43" applyNumberFormat="1" applyFont="1" applyBorder="1" applyAlignment="1">
      <alignment horizontal="center" vertical="center"/>
    </xf>
    <xf numFmtId="49" fontId="28" fillId="0" borderId="11" xfId="43" applyNumberFormat="1" applyFont="1" applyBorder="1" applyAlignment="1">
      <alignment horizontal="center" vertical="center"/>
    </xf>
    <xf numFmtId="49" fontId="28" fillId="0" borderId="12" xfId="43" applyNumberFormat="1" applyFont="1" applyBorder="1" applyAlignment="1">
      <alignment horizontal="center" vertical="center"/>
    </xf>
    <xf numFmtId="49" fontId="28" fillId="23" borderId="13" xfId="43" applyNumberFormat="1" applyFont="1" applyFill="1" applyBorder="1" applyAlignment="1">
      <alignment horizontal="left" vertical="center"/>
    </xf>
    <xf numFmtId="49" fontId="28" fillId="23" borderId="10" xfId="43" applyNumberFormat="1" applyFont="1" applyFill="1" applyBorder="1" applyAlignment="1">
      <alignment horizontal="left" vertical="center"/>
    </xf>
    <xf numFmtId="49" fontId="28" fillId="27" borderId="13" xfId="43" applyNumberFormat="1" applyFont="1" applyFill="1" applyBorder="1" applyAlignment="1">
      <alignment horizontal="center" vertical="center"/>
    </xf>
    <xf numFmtId="0" fontId="28" fillId="0" borderId="14" xfId="43" applyFont="1" applyBorder="1" applyAlignment="1">
      <alignment horizontal="center"/>
    </xf>
    <xf numFmtId="0" fontId="28" fillId="23" borderId="10" xfId="43" applyFont="1" applyFill="1" applyBorder="1" applyAlignment="1">
      <alignment vertical="center"/>
    </xf>
    <xf numFmtId="165" fontId="29" fillId="23" borderId="13" xfId="43" applyNumberFormat="1" applyFont="1" applyFill="1" applyBorder="1" applyAlignment="1">
      <alignment vertical="center"/>
    </xf>
    <xf numFmtId="49" fontId="29" fillId="20" borderId="13" xfId="43" applyNumberFormat="1" applyFont="1" applyFill="1" applyBorder="1" applyAlignment="1">
      <alignment horizontal="left" vertical="center"/>
    </xf>
    <xf numFmtId="49" fontId="29" fillId="20" borderId="10" xfId="43" applyNumberFormat="1" applyFont="1" applyFill="1" applyBorder="1" applyAlignment="1">
      <alignment horizontal="left" vertical="center"/>
    </xf>
    <xf numFmtId="0" fontId="29" fillId="20" borderId="10" xfId="43" applyFont="1" applyFill="1" applyBorder="1"/>
    <xf numFmtId="166" fontId="29" fillId="28" borderId="13" xfId="43" applyNumberFormat="1" applyFont="1" applyFill="1" applyBorder="1"/>
    <xf numFmtId="166" fontId="29" fillId="28" borderId="10" xfId="43" applyNumberFormat="1" applyFont="1" applyFill="1" applyBorder="1"/>
    <xf numFmtId="0" fontId="24" fillId="24" borderId="0" xfId="54"/>
    <xf numFmtId="49" fontId="27" fillId="0" borderId="13" xfId="43" applyNumberFormat="1" applyFont="1" applyBorder="1" applyAlignment="1">
      <alignment horizontal="left" vertical="center"/>
    </xf>
    <xf numFmtId="49" fontId="27" fillId="29" borderId="10" xfId="43" applyNumberFormat="1" applyFont="1" applyFill="1" applyBorder="1" applyAlignment="1">
      <alignment horizontal="left" vertical="center"/>
    </xf>
    <xf numFmtId="0" fontId="27" fillId="29" borderId="10" xfId="43" applyFont="1" applyFill="1" applyBorder="1"/>
    <xf numFmtId="165" fontId="27" fillId="29" borderId="13" xfId="43" applyNumberFormat="1" applyFont="1" applyFill="1" applyBorder="1"/>
    <xf numFmtId="166" fontId="27" fillId="29" borderId="10" xfId="43" applyNumberFormat="1" applyFont="1" applyFill="1" applyBorder="1"/>
    <xf numFmtId="165" fontId="27" fillId="0" borderId="13" xfId="43" applyNumberFormat="1" applyFont="1" applyBorder="1"/>
    <xf numFmtId="166" fontId="27" fillId="0" borderId="10" xfId="43" applyNumberFormat="1" applyFont="1" applyBorder="1"/>
    <xf numFmtId="49" fontId="27" fillId="0" borderId="10" xfId="43" applyNumberFormat="1" applyFont="1" applyBorder="1" applyAlignment="1">
      <alignment horizontal="left" vertical="center"/>
    </xf>
    <xf numFmtId="0" fontId="27" fillId="0" borderId="10" xfId="43" applyFont="1" applyBorder="1"/>
    <xf numFmtId="49" fontId="29" fillId="20" borderId="13" xfId="43" applyNumberFormat="1" applyFont="1" applyFill="1" applyBorder="1" applyAlignment="1">
      <alignment vertical="center"/>
    </xf>
    <xf numFmtId="49" fontId="29" fillId="20" borderId="10" xfId="43" applyNumberFormat="1" applyFont="1" applyFill="1" applyBorder="1" applyAlignment="1">
      <alignment vertical="center"/>
    </xf>
    <xf numFmtId="0" fontId="29" fillId="20" borderId="10" xfId="43" applyFont="1" applyFill="1" applyBorder="1" applyAlignment="1">
      <alignment vertical="center"/>
    </xf>
    <xf numFmtId="49" fontId="27" fillId="0" borderId="13" xfId="43" applyNumberFormat="1" applyFont="1" applyBorder="1"/>
    <xf numFmtId="49" fontId="27" fillId="0" borderId="10" xfId="43" applyNumberFormat="1" applyFont="1" applyBorder="1"/>
    <xf numFmtId="165" fontId="27" fillId="0" borderId="13" xfId="43" applyNumberFormat="1" applyFont="1" applyBorder="1" applyAlignment="1">
      <alignment vertical="center"/>
    </xf>
    <xf numFmtId="49" fontId="29" fillId="20" borderId="13" xfId="43" applyNumberFormat="1" applyFont="1" applyFill="1" applyBorder="1"/>
    <xf numFmtId="49" fontId="29" fillId="20" borderId="10" xfId="43" applyNumberFormat="1" applyFont="1" applyFill="1" applyBorder="1"/>
    <xf numFmtId="49" fontId="27" fillId="0" borderId="15" xfId="43" applyNumberFormat="1" applyFont="1" applyBorder="1"/>
    <xf numFmtId="49" fontId="27" fillId="0" borderId="16" xfId="43" applyNumberFormat="1" applyFont="1" applyBorder="1"/>
    <xf numFmtId="0" fontId="27" fillId="0" borderId="16" xfId="43" applyFont="1" applyBorder="1"/>
    <xf numFmtId="49" fontId="27" fillId="0" borderId="17" xfId="43" applyNumberFormat="1" applyFont="1" applyBorder="1"/>
    <xf numFmtId="49" fontId="27" fillId="0" borderId="18" xfId="43" applyNumberFormat="1" applyFont="1" applyBorder="1"/>
    <xf numFmtId="0" fontId="27" fillId="0" borderId="18" xfId="43" applyFont="1" applyBorder="1"/>
    <xf numFmtId="49" fontId="28" fillId="23" borderId="13" xfId="43" applyNumberFormat="1" applyFont="1" applyFill="1" applyBorder="1"/>
    <xf numFmtId="49" fontId="28" fillId="23" borderId="10" xfId="43" applyNumberFormat="1" applyFont="1" applyFill="1" applyBorder="1"/>
    <xf numFmtId="0" fontId="28" fillId="23" borderId="10" xfId="43" applyFont="1" applyFill="1" applyBorder="1"/>
    <xf numFmtId="165" fontId="29" fillId="23" borderId="13" xfId="43" applyNumberFormat="1" applyFont="1" applyFill="1" applyBorder="1"/>
    <xf numFmtId="165" fontId="29" fillId="23" borderId="10" xfId="43" applyNumberFormat="1" applyFont="1" applyFill="1" applyBorder="1"/>
    <xf numFmtId="49" fontId="27" fillId="0" borderId="13" xfId="43" applyNumberFormat="1" applyFont="1" applyBorder="1" applyAlignment="1">
      <alignment vertical="center"/>
    </xf>
    <xf numFmtId="49" fontId="27" fillId="0" borderId="10" xfId="43" applyNumberFormat="1" applyFont="1" applyBorder="1" applyAlignment="1">
      <alignment vertical="center"/>
    </xf>
    <xf numFmtId="0" fontId="27" fillId="0" borderId="10" xfId="43" applyFont="1" applyBorder="1" applyAlignment="1">
      <alignment vertical="center"/>
    </xf>
    <xf numFmtId="165" fontId="27" fillId="29" borderId="13" xfId="43" applyNumberFormat="1" applyFont="1" applyFill="1" applyBorder="1" applyAlignment="1">
      <alignment vertical="center"/>
    </xf>
    <xf numFmtId="0" fontId="29" fillId="20" borderId="13" xfId="43" applyFont="1" applyFill="1" applyBorder="1"/>
    <xf numFmtId="0" fontId="0" fillId="0" borderId="19" xfId="0" applyBorder="1"/>
    <xf numFmtId="0" fontId="27" fillId="0" borderId="13" xfId="43" applyFont="1" applyBorder="1"/>
    <xf numFmtId="166" fontId="27" fillId="29" borderId="13" xfId="43" applyNumberFormat="1" applyFont="1" applyFill="1" applyBorder="1"/>
    <xf numFmtId="0" fontId="27" fillId="0" borderId="13" xfId="43" applyFont="1" applyBorder="1" applyAlignment="1">
      <alignment vertical="center"/>
    </xf>
    <xf numFmtId="166" fontId="27" fillId="0" borderId="13" xfId="43" applyNumberFormat="1" applyFont="1" applyBorder="1"/>
    <xf numFmtId="165" fontId="29" fillId="27" borderId="13" xfId="43" applyNumberFormat="1" applyFont="1" applyFill="1" applyBorder="1"/>
    <xf numFmtId="166" fontId="29" fillId="27" borderId="10" xfId="43" applyNumberFormat="1" applyFont="1" applyFill="1" applyBorder="1"/>
    <xf numFmtId="166" fontId="29" fillId="27" borderId="13" xfId="43" applyNumberFormat="1" applyFont="1" applyFill="1" applyBorder="1"/>
    <xf numFmtId="165" fontId="29" fillId="20" borderId="13" xfId="43" applyNumberFormat="1" applyFont="1" applyFill="1" applyBorder="1"/>
    <xf numFmtId="165" fontId="29" fillId="20" borderId="10" xfId="43" applyNumberFormat="1" applyFont="1" applyFill="1" applyBorder="1"/>
    <xf numFmtId="49" fontId="27" fillId="29" borderId="10" xfId="43" applyNumberFormat="1" applyFont="1" applyFill="1" applyBorder="1"/>
    <xf numFmtId="165" fontId="30" fillId="23" borderId="10" xfId="43" applyNumberFormat="1" applyFont="1" applyFill="1" applyBorder="1"/>
    <xf numFmtId="0" fontId="25" fillId="0" borderId="0" xfId="55" applyFill="1"/>
    <xf numFmtId="49" fontId="29" fillId="20" borderId="15" xfId="43" applyNumberFormat="1" applyFont="1" applyFill="1" applyBorder="1"/>
    <xf numFmtId="49" fontId="29" fillId="20" borderId="16" xfId="43" applyNumberFormat="1" applyFont="1" applyFill="1" applyBorder="1"/>
    <xf numFmtId="0" fontId="29" fillId="20" borderId="16" xfId="43" applyFont="1" applyFill="1" applyBorder="1"/>
    <xf numFmtId="0" fontId="31" fillId="29" borderId="0" xfId="0" applyFont="1" applyFill="1"/>
    <xf numFmtId="49" fontId="29" fillId="30" borderId="13" xfId="43" applyNumberFormat="1" applyFont="1" applyFill="1" applyBorder="1"/>
    <xf numFmtId="49" fontId="29" fillId="30" borderId="10" xfId="43" applyNumberFormat="1" applyFont="1" applyFill="1" applyBorder="1"/>
    <xf numFmtId="0" fontId="29" fillId="30" borderId="10" xfId="43" applyFont="1" applyFill="1" applyBorder="1"/>
    <xf numFmtId="165" fontId="29" fillId="30" borderId="13" xfId="43" applyNumberFormat="1" applyFont="1" applyFill="1" applyBorder="1"/>
    <xf numFmtId="166" fontId="29" fillId="30" borderId="10" xfId="43" applyNumberFormat="1" applyFont="1" applyFill="1" applyBorder="1"/>
    <xf numFmtId="0" fontId="31" fillId="0" borderId="0" xfId="0" applyFont="1"/>
    <xf numFmtId="0" fontId="29" fillId="31" borderId="10" xfId="43" applyFont="1" applyFill="1" applyBorder="1"/>
    <xf numFmtId="49" fontId="27" fillId="0" borderId="19" xfId="43" applyNumberFormat="1" applyFont="1" applyBorder="1"/>
    <xf numFmtId="0" fontId="27" fillId="0" borderId="20" xfId="43" applyFont="1" applyBorder="1"/>
    <xf numFmtId="49" fontId="29" fillId="20" borderId="18" xfId="43" applyNumberFormat="1" applyFont="1" applyFill="1" applyBorder="1"/>
    <xf numFmtId="49" fontId="27" fillId="0" borderId="20" xfId="43" applyNumberFormat="1" applyFont="1" applyBorder="1"/>
    <xf numFmtId="0" fontId="0" fillId="26" borderId="0" xfId="0" applyFill="1"/>
    <xf numFmtId="49" fontId="29" fillId="0" borderId="13" xfId="43" applyNumberFormat="1" applyFont="1" applyBorder="1"/>
    <xf numFmtId="49" fontId="29" fillId="0" borderId="10" xfId="43" applyNumberFormat="1" applyFont="1" applyBorder="1"/>
    <xf numFmtId="0" fontId="29" fillId="0" borderId="10" xfId="43" applyFont="1" applyBorder="1"/>
    <xf numFmtId="165" fontId="29" fillId="0" borderId="13" xfId="43" applyNumberFormat="1" applyFont="1" applyBorder="1"/>
    <xf numFmtId="166" fontId="29" fillId="0" borderId="10" xfId="43" applyNumberFormat="1" applyFont="1" applyBorder="1"/>
    <xf numFmtId="167" fontId="0" fillId="0" borderId="10" xfId="0" applyNumberFormat="1" applyBorder="1"/>
    <xf numFmtId="167" fontId="0" fillId="0" borderId="13" xfId="0" applyNumberFormat="1" applyBorder="1"/>
    <xf numFmtId="44" fontId="27" fillId="0" borderId="13" xfId="51" applyFont="1" applyBorder="1"/>
    <xf numFmtId="49" fontId="28" fillId="23" borderId="13" xfId="43" applyNumberFormat="1" applyFont="1" applyFill="1" applyBorder="1" applyAlignment="1">
      <alignment horizontal="left"/>
    </xf>
    <xf numFmtId="49" fontId="28" fillId="23" borderId="10" xfId="43" applyNumberFormat="1" applyFont="1" applyFill="1" applyBorder="1" applyAlignment="1">
      <alignment horizontal="left"/>
    </xf>
    <xf numFmtId="165" fontId="29" fillId="32" borderId="13" xfId="43" applyNumberFormat="1" applyFont="1" applyFill="1" applyBorder="1"/>
    <xf numFmtId="166" fontId="29" fillId="33" borderId="10" xfId="43" applyNumberFormat="1" applyFont="1" applyFill="1" applyBorder="1"/>
    <xf numFmtId="165" fontId="29" fillId="34" borderId="13" xfId="43" applyNumberFormat="1" applyFont="1" applyFill="1" applyBorder="1"/>
    <xf numFmtId="49" fontId="27" fillId="0" borderId="0" xfId="43" applyNumberFormat="1" applyFont="1"/>
    <xf numFmtId="165" fontId="27" fillId="0" borderId="0" xfId="43" applyNumberFormat="1" applyFont="1"/>
    <xf numFmtId="166" fontId="27" fillId="0" borderId="0" xfId="43" applyNumberFormat="1" applyFont="1"/>
    <xf numFmtId="166" fontId="27" fillId="28" borderId="13" xfId="43" applyNumberFormat="1" applyFont="1" applyFill="1" applyBorder="1"/>
    <xf numFmtId="166" fontId="27" fillId="28" borderId="10" xfId="43" applyNumberFormat="1" applyFont="1" applyFill="1" applyBorder="1"/>
    <xf numFmtId="168" fontId="0" fillId="0" borderId="0" xfId="0" applyNumberFormat="1"/>
    <xf numFmtId="0" fontId="32" fillId="0" borderId="0" xfId="0" applyFont="1"/>
    <xf numFmtId="0" fontId="0" fillId="0" borderId="0" xfId="0" applyAlignment="1">
      <alignment horizontal="center"/>
    </xf>
    <xf numFmtId="0" fontId="0" fillId="26" borderId="0" xfId="0" applyFill="1" applyAlignment="1">
      <alignment horizontal="center"/>
    </xf>
    <xf numFmtId="166" fontId="29" fillId="30" borderId="13" xfId="43" applyNumberFormat="1" applyFont="1" applyFill="1" applyBorder="1"/>
    <xf numFmtId="167" fontId="31" fillId="0" borderId="0" xfId="0" applyNumberFormat="1" applyFont="1"/>
    <xf numFmtId="0" fontId="0" fillId="35" borderId="0" xfId="0" applyFill="1"/>
    <xf numFmtId="167" fontId="0" fillId="35" borderId="0" xfId="0" applyNumberFormat="1" applyFill="1"/>
    <xf numFmtId="0" fontId="33" fillId="0" borderId="0" xfId="0" applyFont="1"/>
    <xf numFmtId="167" fontId="33" fillId="0" borderId="0" xfId="0" applyNumberFormat="1" applyFont="1"/>
    <xf numFmtId="167" fontId="0" fillId="0" borderId="0" xfId="0" applyNumberFormat="1"/>
    <xf numFmtId="44" fontId="0" fillId="0" borderId="0" xfId="51" applyFont="1"/>
    <xf numFmtId="0" fontId="34" fillId="35" borderId="0" xfId="0" applyFont="1" applyFill="1"/>
    <xf numFmtId="167" fontId="34" fillId="35" borderId="0" xfId="0" applyNumberFormat="1" applyFont="1" applyFill="1"/>
    <xf numFmtId="0" fontId="0" fillId="0" borderId="0" xfId="0" applyAlignment="1">
      <alignment wrapText="1"/>
    </xf>
    <xf numFmtId="0" fontId="31" fillId="35" borderId="0" xfId="0" applyFont="1" applyFill="1"/>
    <xf numFmtId="167" fontId="31" fillId="35" borderId="0" xfId="0" applyNumberFormat="1" applyFont="1" applyFill="1"/>
    <xf numFmtId="0" fontId="35" fillId="0" borderId="21" xfId="0" applyFont="1" applyBorder="1"/>
    <xf numFmtId="0" fontId="35" fillId="0" borderId="0" xfId="0" applyFont="1"/>
    <xf numFmtId="44" fontId="0" fillId="0" borderId="0" xfId="0" applyNumberFormat="1"/>
    <xf numFmtId="0" fontId="0" fillId="0" borderId="14" xfId="0" applyBorder="1"/>
    <xf numFmtId="44" fontId="0" fillId="0" borderId="14" xfId="51" applyFont="1" applyBorder="1"/>
    <xf numFmtId="0" fontId="36" fillId="0" borderId="22" xfId="0" applyFont="1" applyBorder="1"/>
    <xf numFmtId="44" fontId="36" fillId="0" borderId="22" xfId="0" applyNumberFormat="1" applyFont="1" applyBorder="1"/>
    <xf numFmtId="0" fontId="37" fillId="0" borderId="0" xfId="0" applyFont="1"/>
    <xf numFmtId="0" fontId="38" fillId="0" borderId="0" xfId="0" applyFont="1"/>
    <xf numFmtId="0" fontId="0" fillId="0" borderId="23" xfId="0" applyBorder="1"/>
    <xf numFmtId="44" fontId="0" fillId="0" borderId="23" xfId="51" applyFont="1" applyBorder="1"/>
    <xf numFmtId="49" fontId="28" fillId="0" borderId="10" xfId="43" applyNumberFormat="1" applyFont="1" applyBorder="1" applyAlignment="1">
      <alignment horizontal="center" vertical="center"/>
    </xf>
    <xf numFmtId="49" fontId="28" fillId="0" borderId="11" xfId="43" applyNumberFormat="1" applyFont="1" applyBorder="1" applyAlignment="1">
      <alignment horizontal="center" vertical="center"/>
    </xf>
    <xf numFmtId="49" fontId="28" fillId="0" borderId="12" xfId="43" applyNumberFormat="1" applyFont="1" applyBorder="1" applyAlignment="1">
      <alignment horizontal="center" vertical="center"/>
    </xf>
    <xf numFmtId="49" fontId="28" fillId="0" borderId="13" xfId="43" applyNumberFormat="1" applyFont="1" applyBorder="1" applyAlignment="1">
      <alignment horizontal="center" vertical="center"/>
    </xf>
  </cellXfs>
  <cellStyles count="56">
    <cellStyle name="20% - Akzent1" xfId="1" xr:uid="{00000000-0005-0000-0000-000000000000}"/>
    <cellStyle name="20% - Akzent2" xfId="2" xr:uid="{00000000-0005-0000-0000-000001000000}"/>
    <cellStyle name="20% - Akzent3" xfId="3" xr:uid="{00000000-0005-0000-0000-000002000000}"/>
    <cellStyle name="20% - Akzent4" xfId="4" xr:uid="{00000000-0005-0000-0000-000003000000}"/>
    <cellStyle name="20% - Akzent5" xfId="5" xr:uid="{00000000-0005-0000-0000-000004000000}"/>
    <cellStyle name="20% - Akzent6" xfId="6" xr:uid="{00000000-0005-0000-0000-000005000000}"/>
    <cellStyle name="40% - Akzent1" xfId="7" xr:uid="{00000000-0005-0000-0000-000006000000}"/>
    <cellStyle name="40% - Akzent2" xfId="8" xr:uid="{00000000-0005-0000-0000-000007000000}"/>
    <cellStyle name="40% - Akzent3" xfId="9" xr:uid="{00000000-0005-0000-0000-000008000000}"/>
    <cellStyle name="40% - Akzent4" xfId="10" xr:uid="{00000000-0005-0000-0000-000009000000}"/>
    <cellStyle name="40% - Akzent5" xfId="11" xr:uid="{00000000-0005-0000-0000-00000A000000}"/>
    <cellStyle name="40% - Akzent6" xfId="12" xr:uid="{00000000-0005-0000-0000-00000B000000}"/>
    <cellStyle name="60% - Akzent1" xfId="13" xr:uid="{00000000-0005-0000-0000-00000C000000}"/>
    <cellStyle name="60% - Akzent2" xfId="14" xr:uid="{00000000-0005-0000-0000-00000D000000}"/>
    <cellStyle name="60% - Akzent3" xfId="15" xr:uid="{00000000-0005-0000-0000-00000E000000}"/>
    <cellStyle name="60% - Akzent4" xfId="16" xr:uid="{00000000-0005-0000-0000-00000F000000}"/>
    <cellStyle name="60% - Akzent5" xfId="17" xr:uid="{00000000-0005-0000-0000-000010000000}"/>
    <cellStyle name="60% - Akzent6" xfId="18" xr:uid="{00000000-0005-0000-0000-000011000000}"/>
    <cellStyle name="Akzent1 2" xfId="19" xr:uid="{00000000-0005-0000-0000-000012000000}"/>
    <cellStyle name="Akzent2 2" xfId="20" xr:uid="{00000000-0005-0000-0000-000013000000}"/>
    <cellStyle name="Akzent3 2" xfId="21" xr:uid="{00000000-0005-0000-0000-000014000000}"/>
    <cellStyle name="Akzent4 2" xfId="22" xr:uid="{00000000-0005-0000-0000-000015000000}"/>
    <cellStyle name="Akzent5 2" xfId="23" xr:uid="{00000000-0005-0000-0000-000016000000}"/>
    <cellStyle name="Akzent6 2" xfId="24" xr:uid="{00000000-0005-0000-0000-000017000000}"/>
    <cellStyle name="Ausgabe 2" xfId="25" xr:uid="{00000000-0005-0000-0000-000018000000}"/>
    <cellStyle name="Berechnung 2" xfId="26" xr:uid="{00000000-0005-0000-0000-000019000000}"/>
    <cellStyle name="Eingabe 2" xfId="27" xr:uid="{00000000-0005-0000-0000-00001A000000}"/>
    <cellStyle name="Ergebnis 1" xfId="28" xr:uid="{00000000-0005-0000-0000-00001B000000}"/>
    <cellStyle name="Ergebnis 2" xfId="29" xr:uid="{00000000-0005-0000-0000-00001C000000}"/>
    <cellStyle name="Erklärender Text 2" xfId="30" xr:uid="{00000000-0005-0000-0000-00001D000000}"/>
    <cellStyle name="Gut 2" xfId="31" xr:uid="{00000000-0005-0000-0000-00001E000000}"/>
    <cellStyle name="Heading" xfId="32" xr:uid="{00000000-0005-0000-0000-00001F000000}"/>
    <cellStyle name="Heading (user)" xfId="33" xr:uid="{00000000-0005-0000-0000-000020000000}"/>
    <cellStyle name="Heading1" xfId="34" xr:uid="{00000000-0005-0000-0000-000021000000}"/>
    <cellStyle name="Heading1 (user)" xfId="35" xr:uid="{00000000-0005-0000-0000-000022000000}"/>
    <cellStyle name="Neutral" xfId="54" builtinId="28"/>
    <cellStyle name="Neutral 2" xfId="36" xr:uid="{00000000-0005-0000-0000-000024000000}"/>
    <cellStyle name="Notiz 2" xfId="37" xr:uid="{00000000-0005-0000-0000-000025000000}"/>
    <cellStyle name="Result" xfId="38" xr:uid="{00000000-0005-0000-0000-000026000000}"/>
    <cellStyle name="Result (user)" xfId="39" xr:uid="{00000000-0005-0000-0000-000027000000}"/>
    <cellStyle name="Result2" xfId="40" xr:uid="{00000000-0005-0000-0000-000028000000}"/>
    <cellStyle name="Result2 (user)" xfId="41" xr:uid="{00000000-0005-0000-0000-000029000000}"/>
    <cellStyle name="Schlecht" xfId="55" builtinId="27"/>
    <cellStyle name="Schlecht 2" xfId="42" xr:uid="{00000000-0005-0000-0000-00002B000000}"/>
    <cellStyle name="Standard" xfId="0" builtinId="0"/>
    <cellStyle name="Standard 2" xfId="43" xr:uid="{00000000-0005-0000-0000-00002D000000}"/>
    <cellStyle name="Überschrift 1 1" xfId="44" xr:uid="{00000000-0005-0000-0000-00002E000000}"/>
    <cellStyle name="Überschrift 1 2" xfId="45" xr:uid="{00000000-0005-0000-0000-00002F000000}"/>
    <cellStyle name="Überschrift 2 2" xfId="46" xr:uid="{00000000-0005-0000-0000-000030000000}"/>
    <cellStyle name="Überschrift 3 2" xfId="47" xr:uid="{00000000-0005-0000-0000-000031000000}"/>
    <cellStyle name="Überschrift 4 2" xfId="48" xr:uid="{00000000-0005-0000-0000-000032000000}"/>
    <cellStyle name="Überschrift 5" xfId="49" xr:uid="{00000000-0005-0000-0000-000033000000}"/>
    <cellStyle name="Verknüpfte Zelle 2" xfId="50" xr:uid="{00000000-0005-0000-0000-000034000000}"/>
    <cellStyle name="Währung" xfId="51" builtinId="4"/>
    <cellStyle name="Warnender Text 2" xfId="52" xr:uid="{00000000-0005-0000-0000-000036000000}"/>
    <cellStyle name="Zelle überprüfen 2" xfId="53" xr:uid="{00000000-0005-0000-0000-00003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Lara Volkmer" id="{1B986BB9-763E-60D8-86C1-867585DA03E9}" userId="" providerId=""/>
  <person displayName="Windows-Benutzer" id="{935B162F-FDCC-0F62-AD1A-7FDCA1900FF1}" userId="" providerId=""/>
  <person displayName="Volkmer, Lara (lavol102@uni-duesseldorf.de)" id="{E35A8BCA-6F41-5BCA-1447-0F15AC1049AE}" userId="oc70c5568246_lavol102@uni-duesseldorf.de" providerId="Teamlab"/>
</personList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0" personId="{935B162F-FDCC-0F62-AD1A-7FDCA1900FF1}" id="{008700F9-00C5-4AC1-92DD-00DC0033007F}">
    <text xml:space="preserve">siehe Tagesgeldkonto Sozialfond (Sparbuch Sparkasse)
</text>
  </threadedComment>
  <threadedComment ref="C36" personId="{935B162F-FDCC-0F62-AD1A-7FDCA1900FF1}" id="{001A0098-002A-4307-A069-003100420050}">
    <text xml:space="preserve">siehe HH-Kommentar
1) noch nicht zugeteilte Semestergelder
2) Rückerstattung SemSoz
</text>
  </threadedComment>
  <threadedComment ref="C125" personId="{935B162F-FDCC-0F62-AD1A-7FDCA1900FF1}" id="{00FF0040-0018-4CCE-8B36-008E00B00009}">
    <text xml:space="preserve">11 01 Restmittel des Vorjahres (Girokonto Sozialfond)+ 13 01 Sozialfond (Sparbuch)
</text>
  </threadedComment>
  <threadedComment ref="C176" personId="{935B162F-FDCC-0F62-AD1A-7FDCA1900FF1}" id="{00F100EB-006C-4684-8F72-00C6004800A2}">
    <text xml:space="preserve">ggf. BdH fragen, ob sich Löhne erhöhen könnten
</text>
  </threadedComment>
  <threadedComment ref="K176" dT="2023-08-09T09:42:07.65" personId="{E35A8BCA-6F41-5BCA-1447-0F15AC1049AE}" id="{B2E57B57-3401-AA77-058D-3B5036071F5F}">
    <text xml:space="preserve">+ 4 Monate Kultur Festi
</text>
  </threadedComment>
  <threadedComment ref="D217" personId="{1B986BB9-763E-60D8-86C1-867585DA03E9}" id="{006F002D-00A7-4DCD-AE80-006700B50060}">
    <text xml:space="preserve">Zweckgebundene Einnamen FZS im WS 23/24
</text>
  </threadedComment>
  <threadedComment ref="H217" personId="{1B986BB9-763E-60D8-86C1-867585DA03E9}" id="{00DE0065-001D-415F-8A11-003200F300F0}">
    <text xml:space="preserve">Zweckgebundene Einnamen FZS im WS 23/24
</text>
  </threadedComment>
  <threadedComment ref="L217" personId="{1B986BB9-763E-60D8-86C1-867585DA03E9}" id="{00AA0026-00B0-47A0-97E5-007900430012}">
    <text xml:space="preserve">Zweckgebundene Einnamen FZS im WS 23/24
</text>
  </threadedComment>
  <threadedComment ref="G221" dT="2023-08-03T15:52:41.78" personId="{E35A8BCA-6F41-5BCA-1447-0F15AC1049AE}" id="{4B215458-2FC3-B819-FB14-67F8F9001D80}">
    <text xml:space="preserve">Reduzierung der Reisekosten durch änderung der Reisekostenrichtlinie, Fachschaften müssen mehr selber für ihre Bufatas aufkommen
</text>
  </threadedComment>
  <threadedComment ref="K221" dT="2023-08-09T09:44:43.18" personId="{E35A8BCA-6F41-5BCA-1447-0F15AC1049AE}" id="{CCA5C02B-3850-ECE3-FF79-71E26194E084}">
    <text xml:space="preserve">an ausgaben angepasst.
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E7" personId="{E35A8BCA-6F41-5BCA-1447-0F15AC1049AE}" id="{00B6004F-007E-41C6-8B4A-0050001E0012}">
    <text xml:space="preserve">*4 Monate
</text>
  </threadedComment>
  <threadedComment ref="E13" personId="{1B986BB9-763E-60D8-86C1-867585DA03E9}" id="{002200B7-005D-47C2-A9DB-00370012006D}">
    <text xml:space="preserve">*8 Monate
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1.xml"/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3" Type="http://schemas.microsoft.com/office/2017/10/relationships/threadedComment" Target="../threadedComments/threadedComment2.xml"/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332"/>
  <sheetViews>
    <sheetView tabSelected="1" topLeftCell="A223" zoomScale="80" workbookViewId="0">
      <selection activeCell="G221" sqref="G221"/>
    </sheetView>
  </sheetViews>
  <sheetFormatPr baseColWidth="10" defaultColWidth="10.90625" defaultRowHeight="14.5"/>
  <cols>
    <col min="1" max="1" width="12.54296875" bestFit="1" customWidth="1"/>
    <col min="2" max="2" width="14.08984375" bestFit="1" customWidth="1"/>
    <col min="3" max="3" width="47.90625" customWidth="1"/>
    <col min="4" max="4" width="14.36328125" customWidth="1"/>
    <col min="5" max="5" width="15.36328125" customWidth="1"/>
    <col min="6" max="6" width="13.08984375" bestFit="1" customWidth="1"/>
    <col min="7" max="7" width="11.453125" bestFit="1" customWidth="1"/>
    <col min="8" max="8" width="14.6328125" bestFit="1" customWidth="1"/>
    <col min="9" max="9" width="12.1796875" bestFit="1" customWidth="1"/>
    <col min="10" max="10" width="13.08984375" bestFit="1" customWidth="1"/>
    <col min="11" max="11" width="11.453125" bestFit="1" customWidth="1"/>
    <col min="12" max="12" width="14.6328125" hidden="1" customWidth="1"/>
    <col min="13" max="13" width="11.6328125" hidden="1" customWidth="1"/>
    <col min="14" max="14" width="13.08984375" hidden="1" customWidth="1"/>
    <col min="15" max="16" width="15.08984375" hidden="1" customWidth="1"/>
    <col min="17" max="17" width="12.1796875" hidden="1" customWidth="1"/>
    <col min="18" max="18" width="13.36328125" hidden="1" customWidth="1"/>
    <col min="19" max="19" width="15.08984375" hidden="1" customWidth="1"/>
    <col min="20" max="20" width="15.08984375" bestFit="1" customWidth="1"/>
    <col min="21" max="21" width="15.08984375" customWidth="1"/>
    <col min="22" max="22" width="13.90625" customWidth="1"/>
    <col min="23" max="23" width="15.08984375" customWidth="1"/>
    <col min="24" max="24" width="13.90625" customWidth="1"/>
    <col min="25" max="25" width="15.08984375" customWidth="1"/>
    <col min="26" max="26" width="15.08984375" bestFit="1" customWidth="1"/>
    <col min="27" max="27" width="12.1796875" bestFit="1" customWidth="1"/>
    <col min="28" max="28" width="13.36328125" bestFit="1" customWidth="1"/>
  </cols>
  <sheetData>
    <row r="1" spans="1:28" ht="18.5">
      <c r="A1" s="1"/>
      <c r="B1" s="1"/>
      <c r="C1" s="2"/>
      <c r="D1" s="2"/>
      <c r="E1" s="3"/>
      <c r="F1" s="3"/>
      <c r="H1" s="2"/>
      <c r="I1" s="3"/>
      <c r="J1" s="3"/>
      <c r="L1" s="2"/>
      <c r="M1" s="3"/>
      <c r="N1" s="3"/>
      <c r="O1" s="3"/>
      <c r="P1" s="2"/>
      <c r="Q1" s="3"/>
      <c r="R1" s="3"/>
      <c r="T1" s="2"/>
      <c r="U1" s="3"/>
      <c r="V1" s="3"/>
      <c r="W1" s="3"/>
      <c r="X1" s="3"/>
      <c r="Z1" s="2"/>
      <c r="AA1" s="3"/>
      <c r="AB1" s="3"/>
    </row>
    <row r="2" spans="1:28">
      <c r="A2" s="4"/>
      <c r="B2" s="4"/>
      <c r="C2" s="4" t="s">
        <v>0</v>
      </c>
      <c r="D2" s="2" t="s">
        <v>1</v>
      </c>
      <c r="E2" s="5" t="s">
        <v>2</v>
      </c>
      <c r="F2" s="5" t="s">
        <v>1</v>
      </c>
      <c r="H2" s="2" t="s">
        <v>1</v>
      </c>
      <c r="I2" s="5" t="s">
        <v>2</v>
      </c>
      <c r="J2" s="5" t="s">
        <v>1</v>
      </c>
      <c r="L2" s="2" t="s">
        <v>1</v>
      </c>
      <c r="M2" s="5" t="s">
        <v>2</v>
      </c>
      <c r="N2" s="5" t="s">
        <v>1</v>
      </c>
      <c r="O2" s="5"/>
      <c r="P2" s="2" t="s">
        <v>1</v>
      </c>
      <c r="Q2" s="5" t="s">
        <v>2</v>
      </c>
      <c r="R2" s="5" t="s">
        <v>1</v>
      </c>
      <c r="T2" s="2" t="s">
        <v>1</v>
      </c>
      <c r="U2" s="5" t="s">
        <v>2</v>
      </c>
      <c r="V2" s="5" t="s">
        <v>1</v>
      </c>
    </row>
    <row r="3" spans="1:28">
      <c r="A3" s="4"/>
      <c r="B3" s="4"/>
      <c r="C3" s="4"/>
      <c r="D3" s="6">
        <v>30000</v>
      </c>
      <c r="E3" s="7">
        <v>28000</v>
      </c>
      <c r="F3" s="7">
        <v>30000</v>
      </c>
      <c r="H3" s="6">
        <v>34106</v>
      </c>
      <c r="I3" s="7">
        <v>29200</v>
      </c>
      <c r="J3" s="7">
        <v>30000</v>
      </c>
      <c r="L3" s="6">
        <v>34106</v>
      </c>
      <c r="M3" s="7">
        <v>30000</v>
      </c>
      <c r="N3" s="7">
        <v>31500</v>
      </c>
      <c r="P3" s="6">
        <v>34500</v>
      </c>
      <c r="Q3" s="7">
        <v>32500</v>
      </c>
      <c r="R3" s="7">
        <v>35000</v>
      </c>
      <c r="T3" s="6">
        <v>34102</v>
      </c>
      <c r="U3" s="7">
        <v>34000</v>
      </c>
      <c r="V3" s="7">
        <v>34500</v>
      </c>
    </row>
    <row r="4" spans="1:28" ht="21">
      <c r="A4" s="8"/>
      <c r="B4" s="8"/>
      <c r="C4" s="8"/>
      <c r="D4" s="132" t="s">
        <v>3</v>
      </c>
      <c r="E4" s="133"/>
      <c r="F4" s="134"/>
      <c r="H4" s="132" t="s">
        <v>4</v>
      </c>
      <c r="I4" s="133"/>
      <c r="J4" s="134"/>
      <c r="L4" s="132" t="s">
        <v>5</v>
      </c>
      <c r="M4" s="133"/>
      <c r="N4" s="134"/>
      <c r="P4" s="9" t="s">
        <v>6</v>
      </c>
      <c r="Q4" s="10"/>
      <c r="R4" s="11"/>
      <c r="T4" s="132" t="s">
        <v>7</v>
      </c>
      <c r="U4" s="133"/>
      <c r="V4" s="134"/>
    </row>
    <row r="5" spans="1:28" ht="21">
      <c r="A5" s="12" t="s">
        <v>8</v>
      </c>
      <c r="B5" s="13" t="s">
        <v>9</v>
      </c>
      <c r="C5" s="13" t="s">
        <v>10</v>
      </c>
      <c r="D5" s="14" t="s">
        <v>11</v>
      </c>
      <c r="E5" s="15" t="s">
        <v>12</v>
      </c>
      <c r="F5" s="14" t="s">
        <v>13</v>
      </c>
      <c r="H5" s="14" t="s">
        <v>11</v>
      </c>
      <c r="I5" s="15" t="s">
        <v>12</v>
      </c>
      <c r="J5" s="14" t="s">
        <v>13</v>
      </c>
      <c r="L5" s="14" t="s">
        <v>11</v>
      </c>
      <c r="M5" s="15" t="s">
        <v>12</v>
      </c>
      <c r="N5" s="14" t="s">
        <v>13</v>
      </c>
      <c r="P5" s="14" t="s">
        <v>11</v>
      </c>
      <c r="Q5" s="15" t="s">
        <v>12</v>
      </c>
      <c r="R5" s="14" t="s">
        <v>13</v>
      </c>
      <c r="T5" s="14" t="s">
        <v>11</v>
      </c>
      <c r="U5" s="15" t="s">
        <v>12</v>
      </c>
      <c r="V5" s="14" t="s">
        <v>13</v>
      </c>
    </row>
    <row r="6" spans="1:28">
      <c r="A6" s="8"/>
      <c r="B6" s="8"/>
      <c r="C6" s="8"/>
      <c r="D6" s="8"/>
      <c r="E6" s="3"/>
      <c r="F6" s="3"/>
      <c r="H6" s="8"/>
      <c r="I6" s="3"/>
      <c r="J6" s="3"/>
      <c r="L6" s="8"/>
      <c r="M6" s="3"/>
      <c r="N6" s="3"/>
      <c r="P6" s="8"/>
      <c r="Q6" s="3"/>
      <c r="R6" s="3"/>
      <c r="T6" s="8"/>
      <c r="U6" s="3"/>
      <c r="V6" s="3"/>
    </row>
    <row r="7" spans="1:28" ht="21">
      <c r="A7" s="12">
        <v>1</v>
      </c>
      <c r="B7" s="13"/>
      <c r="C7" s="16" t="s">
        <v>14</v>
      </c>
      <c r="D7" s="17">
        <f>SUM(D8,D12,D16,D23,D32,D35)</f>
        <v>747598.9</v>
      </c>
      <c r="E7" s="17">
        <f>SUM(E8,E12,E16,E23,E32,E35)</f>
        <v>633098.9</v>
      </c>
      <c r="F7" s="17">
        <f>SUM(F8,F12,F16,F23,F32,F35)</f>
        <v>114500</v>
      </c>
      <c r="H7" s="17">
        <f>SUM(H8,H12,H16,H23,H32,H35)</f>
        <v>850631.82</v>
      </c>
      <c r="I7" s="17">
        <f>SUM(I8,I12,I16,I23,I32,I35)</f>
        <v>776131.82</v>
      </c>
      <c r="J7" s="17">
        <f>SUM(J8,J12,J16,J23,J32,J35)</f>
        <v>74500</v>
      </c>
      <c r="L7" s="17">
        <f>SUM(L8,L12,L16,L23,L32,L35)</f>
        <v>847181.82</v>
      </c>
      <c r="M7" s="17">
        <f>SUM(M8,M12,M16,M23,M32,M35)</f>
        <v>772681.82</v>
      </c>
      <c r="N7" s="17">
        <f>SUM(N8,N12,N16,N23,N32,N35)</f>
        <v>74500</v>
      </c>
      <c r="P7" s="17">
        <v>1018033.96</v>
      </c>
      <c r="Q7" s="17">
        <v>846033.96</v>
      </c>
      <c r="R7" s="17">
        <v>172000</v>
      </c>
      <c r="T7" s="17">
        <f>SUM(T8,T12,T16,T23,T32,T35)</f>
        <v>1068465.47</v>
      </c>
      <c r="U7" s="17">
        <f>SUM(U8,U12,U16,U23,U32,U35)</f>
        <v>896465.47</v>
      </c>
      <c r="V7" s="17">
        <f>SUM(V8,V12,V16,V23,V32,V35)</f>
        <v>172000</v>
      </c>
    </row>
    <row r="8" spans="1:28">
      <c r="A8" s="18" t="s">
        <v>15</v>
      </c>
      <c r="B8" s="19"/>
      <c r="C8" s="20" t="s">
        <v>16</v>
      </c>
      <c r="D8" s="21">
        <f>SUM(D9:D11)</f>
        <v>350000</v>
      </c>
      <c r="E8" s="22">
        <f>SUM(E9:E11)</f>
        <v>350000</v>
      </c>
      <c r="F8" s="21">
        <f>SUM(F9:F11)</f>
        <v>0</v>
      </c>
      <c r="G8" s="23"/>
      <c r="H8" s="21">
        <f>SUM(H9:H11)</f>
        <v>294472.77499999991</v>
      </c>
      <c r="I8" s="22">
        <f>SUM(I9:I11)</f>
        <v>294472.77499999991</v>
      </c>
      <c r="J8" s="21">
        <f>SUM(J9:J11)</f>
        <v>0</v>
      </c>
      <c r="L8" s="21">
        <f>SUM(L9:L11)</f>
        <v>294472.77499999991</v>
      </c>
      <c r="M8" s="22">
        <f>SUM(M9:M11)</f>
        <v>294472.77499999991</v>
      </c>
      <c r="N8" s="21">
        <f>SUM(N9:N11)</f>
        <v>0</v>
      </c>
      <c r="P8" s="21">
        <v>600000</v>
      </c>
      <c r="Q8" s="22">
        <v>600000</v>
      </c>
      <c r="R8" s="21">
        <v>0</v>
      </c>
      <c r="T8" s="21">
        <f>SUM(T9:T11)</f>
        <v>567675.47</v>
      </c>
      <c r="U8" s="22">
        <f>SUM(U9:U11)</f>
        <v>567675.47</v>
      </c>
      <c r="V8" s="21">
        <f>SUM(V9:V11)</f>
        <v>0</v>
      </c>
    </row>
    <row r="9" spans="1:28">
      <c r="A9" s="24" t="s">
        <v>17</v>
      </c>
      <c r="B9" s="25" t="s">
        <v>18</v>
      </c>
      <c r="C9" s="26" t="s">
        <v>19</v>
      </c>
      <c r="D9" s="27">
        <v>350000</v>
      </c>
      <c r="E9" s="28">
        <f>-F9+D9</f>
        <v>350000</v>
      </c>
      <c r="F9" s="27">
        <v>0</v>
      </c>
      <c r="H9" s="27">
        <v>294472.77499999991</v>
      </c>
      <c r="I9" s="28">
        <f>-J9+H9</f>
        <v>294472.77499999991</v>
      </c>
      <c r="J9" s="27">
        <v>0</v>
      </c>
      <c r="L9" s="27">
        <v>294472.77499999991</v>
      </c>
      <c r="M9" s="28">
        <f>-N9+L9</f>
        <v>294472.77499999991</v>
      </c>
      <c r="N9" s="27">
        <v>0</v>
      </c>
      <c r="P9" s="29">
        <v>600000</v>
      </c>
      <c r="Q9" s="30">
        <v>600000</v>
      </c>
      <c r="R9" s="29">
        <v>0</v>
      </c>
      <c r="T9" s="29">
        <v>567675.47</v>
      </c>
      <c r="U9" s="30">
        <f>-V9+T9</f>
        <v>567675.47</v>
      </c>
      <c r="V9" s="29">
        <v>0</v>
      </c>
    </row>
    <row r="10" spans="1:28">
      <c r="A10" s="24"/>
      <c r="B10" s="31" t="s">
        <v>20</v>
      </c>
      <c r="C10" s="32" t="s">
        <v>21</v>
      </c>
      <c r="D10" s="27">
        <v>0</v>
      </c>
      <c r="E10" s="30">
        <f t="shared" ref="E10:E11" si="0">-F10+D10</f>
        <v>0</v>
      </c>
      <c r="F10" s="29">
        <v>0</v>
      </c>
      <c r="H10" s="27">
        <v>0</v>
      </c>
      <c r="I10" s="30">
        <f t="shared" ref="I10:I11" si="1">-J10+H10</f>
        <v>0</v>
      </c>
      <c r="J10" s="29">
        <v>0</v>
      </c>
      <c r="L10" s="27">
        <v>0</v>
      </c>
      <c r="M10" s="30">
        <f t="shared" ref="M10:M11" si="2">-N10+L10</f>
        <v>0</v>
      </c>
      <c r="N10" s="29">
        <v>0</v>
      </c>
      <c r="P10" s="27">
        <v>0</v>
      </c>
      <c r="Q10" s="30">
        <v>0</v>
      </c>
      <c r="R10" s="29">
        <v>0</v>
      </c>
      <c r="T10" s="27">
        <v>0</v>
      </c>
      <c r="U10" s="30">
        <f t="shared" ref="U10:U11" si="3">-V10+T10</f>
        <v>0</v>
      </c>
      <c r="V10" s="29">
        <v>0</v>
      </c>
    </row>
    <row r="11" spans="1:28">
      <c r="A11" s="24"/>
      <c r="B11" s="31" t="s">
        <v>22</v>
      </c>
      <c r="C11" s="32" t="s">
        <v>23</v>
      </c>
      <c r="D11" s="27">
        <v>0</v>
      </c>
      <c r="E11" s="30">
        <f t="shared" si="0"/>
        <v>0</v>
      </c>
      <c r="F11" s="29">
        <v>0</v>
      </c>
      <c r="H11" s="27">
        <v>0</v>
      </c>
      <c r="I11" s="30">
        <f t="shared" si="1"/>
        <v>0</v>
      </c>
      <c r="J11" s="29">
        <v>0</v>
      </c>
      <c r="L11" s="27">
        <v>0</v>
      </c>
      <c r="M11" s="30">
        <f t="shared" si="2"/>
        <v>0</v>
      </c>
      <c r="N11" s="29">
        <v>0</v>
      </c>
      <c r="P11" s="27">
        <v>0</v>
      </c>
      <c r="Q11" s="30">
        <v>0</v>
      </c>
      <c r="R11" s="29">
        <v>0</v>
      </c>
      <c r="T11" s="27">
        <v>0</v>
      </c>
      <c r="U11" s="30">
        <f t="shared" si="3"/>
        <v>0</v>
      </c>
      <c r="V11" s="29">
        <v>0</v>
      </c>
    </row>
    <row r="12" spans="1:28">
      <c r="A12" s="33" t="s">
        <v>24</v>
      </c>
      <c r="B12" s="34"/>
      <c r="C12" s="35" t="s">
        <v>25</v>
      </c>
      <c r="D12" s="21">
        <f>SUM(D13:D15)</f>
        <v>1000</v>
      </c>
      <c r="E12" s="22">
        <f>SUM(E13:E15)</f>
        <v>-6500</v>
      </c>
      <c r="F12" s="21">
        <f>SUM(F13:F15)</f>
        <v>7500</v>
      </c>
      <c r="H12" s="21">
        <f>SUM(H13:H15)</f>
        <v>1000</v>
      </c>
      <c r="I12" s="22">
        <f>SUM(I13:I15)</f>
        <v>-6500</v>
      </c>
      <c r="J12" s="21">
        <f>SUM(J13:J15)</f>
        <v>7500</v>
      </c>
      <c r="L12" s="21">
        <f>SUM(L13:L15)</f>
        <v>1000</v>
      </c>
      <c r="M12" s="22">
        <f>SUM(M13:M15)</f>
        <v>-6500</v>
      </c>
      <c r="N12" s="21">
        <f>SUM(N13:N15)</f>
        <v>7500</v>
      </c>
      <c r="P12" s="21">
        <v>1000</v>
      </c>
      <c r="Q12" s="22">
        <v>-14000</v>
      </c>
      <c r="R12" s="21">
        <v>15000</v>
      </c>
      <c r="T12" s="21">
        <f>SUM(T13:T15)</f>
        <v>1000</v>
      </c>
      <c r="U12" s="22">
        <f>SUM(U13:U15)</f>
        <v>-14000</v>
      </c>
      <c r="V12" s="21">
        <f>SUM(V13:V15)</f>
        <v>15000</v>
      </c>
    </row>
    <row r="13" spans="1:28">
      <c r="A13" s="36" t="s">
        <v>26</v>
      </c>
      <c r="B13" s="37" t="s">
        <v>27</v>
      </c>
      <c r="C13" s="32" t="s">
        <v>28</v>
      </c>
      <c r="D13" s="38">
        <v>1000</v>
      </c>
      <c r="E13" s="30">
        <f t="shared" ref="E13:E15" si="4">-F13+D13</f>
        <v>1000</v>
      </c>
      <c r="F13" s="27">
        <v>0</v>
      </c>
      <c r="H13" s="38">
        <v>1000</v>
      </c>
      <c r="I13" s="30">
        <f t="shared" ref="I13:I15" si="5">-J13+H13</f>
        <v>1000</v>
      </c>
      <c r="J13" s="27">
        <v>0</v>
      </c>
      <c r="L13" s="38">
        <v>1000</v>
      </c>
      <c r="M13" s="30">
        <f t="shared" ref="M13:M15" si="6">-N13+L13</f>
        <v>1000</v>
      </c>
      <c r="N13" s="27">
        <v>0</v>
      </c>
      <c r="P13" s="38">
        <v>1000</v>
      </c>
      <c r="Q13" s="30">
        <v>1000</v>
      </c>
      <c r="R13" s="27">
        <v>0</v>
      </c>
      <c r="T13" s="38">
        <v>1000</v>
      </c>
      <c r="U13" s="30">
        <f t="shared" ref="U13:U15" si="7">-V13+T13</f>
        <v>1000</v>
      </c>
      <c r="V13" s="27">
        <v>0</v>
      </c>
    </row>
    <row r="14" spans="1:28">
      <c r="A14" s="36"/>
      <c r="B14" s="37" t="s">
        <v>29</v>
      </c>
      <c r="C14" s="32" t="s">
        <v>30</v>
      </c>
      <c r="D14" s="38">
        <v>0</v>
      </c>
      <c r="E14" s="30">
        <f t="shared" si="4"/>
        <v>0</v>
      </c>
      <c r="F14" s="29">
        <v>0</v>
      </c>
      <c r="H14" s="38">
        <v>0</v>
      </c>
      <c r="I14" s="30">
        <f t="shared" si="5"/>
        <v>0</v>
      </c>
      <c r="J14" s="29">
        <v>0</v>
      </c>
      <c r="L14" s="38">
        <v>0</v>
      </c>
      <c r="M14" s="30">
        <f t="shared" si="6"/>
        <v>0</v>
      </c>
      <c r="N14" s="29">
        <v>0</v>
      </c>
      <c r="P14" s="38">
        <v>0</v>
      </c>
      <c r="Q14" s="30">
        <v>0</v>
      </c>
      <c r="R14" s="29">
        <v>0</v>
      </c>
      <c r="T14" s="38">
        <v>0</v>
      </c>
      <c r="U14" s="30">
        <f t="shared" si="7"/>
        <v>0</v>
      </c>
      <c r="V14" s="29">
        <v>0</v>
      </c>
    </row>
    <row r="15" spans="1:28">
      <c r="A15" s="36"/>
      <c r="B15" s="37" t="s">
        <v>31</v>
      </c>
      <c r="C15" s="32" t="s">
        <v>32</v>
      </c>
      <c r="D15" s="38">
        <v>0</v>
      </c>
      <c r="E15" s="30">
        <f t="shared" si="4"/>
        <v>-7500</v>
      </c>
      <c r="F15" s="29">
        <v>7500</v>
      </c>
      <c r="H15" s="38">
        <v>0</v>
      </c>
      <c r="I15" s="30">
        <f t="shared" si="5"/>
        <v>-7500</v>
      </c>
      <c r="J15" s="29">
        <v>7500</v>
      </c>
      <c r="L15" s="38">
        <v>0</v>
      </c>
      <c r="M15" s="30">
        <f t="shared" si="6"/>
        <v>-7500</v>
      </c>
      <c r="N15" s="29">
        <v>7500</v>
      </c>
      <c r="P15" s="38">
        <v>0</v>
      </c>
      <c r="Q15" s="30">
        <v>-15000</v>
      </c>
      <c r="R15" s="29">
        <v>15000</v>
      </c>
      <c r="T15" s="38">
        <v>0</v>
      </c>
      <c r="U15" s="30">
        <f t="shared" si="7"/>
        <v>-15000</v>
      </c>
      <c r="V15" s="29">
        <v>15000</v>
      </c>
    </row>
    <row r="16" spans="1:28">
      <c r="A16" s="39" t="s">
        <v>33</v>
      </c>
      <c r="B16" s="40"/>
      <c r="C16" s="20" t="s">
        <v>34</v>
      </c>
      <c r="D16" s="21">
        <f>SUM(D17:D22)</f>
        <v>30383.9</v>
      </c>
      <c r="E16" s="22">
        <f>SUM(E17:E22)</f>
        <v>-9616.0999999999985</v>
      </c>
      <c r="F16" s="21">
        <f>SUM(F17:F22)</f>
        <v>40000</v>
      </c>
      <c r="G16" s="23"/>
      <c r="H16" s="21">
        <f>SUM(H17:H22)</f>
        <v>113433.9</v>
      </c>
      <c r="I16" s="22">
        <f>SUM(I17:I22)</f>
        <v>113433.9</v>
      </c>
      <c r="J16" s="21">
        <f>SUM(J17:J22)</f>
        <v>0</v>
      </c>
      <c r="L16" s="21">
        <f>SUM(L17:L22)</f>
        <v>109983.9</v>
      </c>
      <c r="M16" s="22">
        <f>SUM(M17:M22)</f>
        <v>109983.9</v>
      </c>
      <c r="N16" s="21">
        <f>SUM(N17:N22)</f>
        <v>0</v>
      </c>
      <c r="P16" s="21">
        <v>45383.9</v>
      </c>
      <c r="Q16" s="22">
        <v>45383.9</v>
      </c>
      <c r="R16" s="21">
        <v>0</v>
      </c>
      <c r="T16" s="21">
        <f>SUM(T17:T22)</f>
        <v>95383.76</v>
      </c>
      <c r="U16" s="22">
        <f>SUM(U17:U22)</f>
        <v>95383.76</v>
      </c>
      <c r="V16" s="21">
        <f>SUM(V17:V22)</f>
        <v>0</v>
      </c>
    </row>
    <row r="17" spans="1:22">
      <c r="A17" s="36" t="s">
        <v>35</v>
      </c>
      <c r="B17" s="37" t="s">
        <v>36</v>
      </c>
      <c r="C17" s="32" t="s">
        <v>37</v>
      </c>
      <c r="D17" s="29">
        <v>0</v>
      </c>
      <c r="E17" s="30">
        <f t="shared" ref="E17:E22" si="8">-F17+D17</f>
        <v>-20000</v>
      </c>
      <c r="F17" s="29">
        <v>20000</v>
      </c>
      <c r="H17" s="29">
        <v>0</v>
      </c>
      <c r="I17" s="30">
        <f t="shared" ref="I17:I22" si="9">-J17+H17</f>
        <v>0</v>
      </c>
      <c r="J17" s="29">
        <v>0</v>
      </c>
      <c r="L17" s="29">
        <v>0</v>
      </c>
      <c r="M17" s="30">
        <f t="shared" ref="M17:M22" si="10">-N17+L17</f>
        <v>0</v>
      </c>
      <c r="N17" s="29">
        <v>0</v>
      </c>
      <c r="P17" s="29">
        <v>0</v>
      </c>
      <c r="Q17" s="30">
        <v>0</v>
      </c>
      <c r="R17" s="29">
        <v>0</v>
      </c>
      <c r="T17" s="29">
        <v>0</v>
      </c>
      <c r="U17" s="30">
        <f t="shared" ref="U17:U22" si="11">-V17+T17</f>
        <v>0</v>
      </c>
      <c r="V17" s="29">
        <v>0</v>
      </c>
    </row>
    <row r="18" spans="1:22">
      <c r="A18" s="36"/>
      <c r="B18" s="37" t="s">
        <v>38</v>
      </c>
      <c r="C18" s="32" t="s">
        <v>39</v>
      </c>
      <c r="D18" s="29">
        <v>0</v>
      </c>
      <c r="E18" s="30">
        <f t="shared" si="8"/>
        <v>-10000</v>
      </c>
      <c r="F18" s="29">
        <v>10000</v>
      </c>
      <c r="H18" s="29">
        <f>4600+3450</f>
        <v>8050</v>
      </c>
      <c r="I18" s="30">
        <f t="shared" si="9"/>
        <v>8050</v>
      </c>
      <c r="J18" s="29">
        <v>0</v>
      </c>
      <c r="L18" s="29">
        <v>4600</v>
      </c>
      <c r="M18" s="30">
        <f t="shared" si="10"/>
        <v>4600</v>
      </c>
      <c r="N18" s="29">
        <v>0</v>
      </c>
      <c r="P18" s="29">
        <v>15000</v>
      </c>
      <c r="Q18" s="30">
        <v>15000</v>
      </c>
      <c r="R18" s="29">
        <v>0</v>
      </c>
      <c r="T18" s="29">
        <v>65000</v>
      </c>
      <c r="U18" s="30">
        <f t="shared" si="11"/>
        <v>65000</v>
      </c>
      <c r="V18" s="29">
        <v>0</v>
      </c>
    </row>
    <row r="19" spans="1:22">
      <c r="A19" s="36" t="s">
        <v>40</v>
      </c>
      <c r="B19" s="37" t="s">
        <v>41</v>
      </c>
      <c r="C19" s="32" t="s">
        <v>42</v>
      </c>
      <c r="D19" s="29">
        <v>0</v>
      </c>
      <c r="E19" s="30">
        <f t="shared" si="8"/>
        <v>0</v>
      </c>
      <c r="F19" s="29">
        <v>0</v>
      </c>
      <c r="H19" s="29">
        <v>0</v>
      </c>
      <c r="I19" s="30">
        <f t="shared" si="9"/>
        <v>0</v>
      </c>
      <c r="J19" s="29">
        <v>0</v>
      </c>
      <c r="L19" s="29">
        <v>0</v>
      </c>
      <c r="M19" s="30">
        <f t="shared" si="10"/>
        <v>0</v>
      </c>
      <c r="N19" s="29">
        <v>0</v>
      </c>
      <c r="P19" s="29">
        <v>0</v>
      </c>
      <c r="Q19" s="30">
        <v>0</v>
      </c>
      <c r="R19" s="29">
        <v>0</v>
      </c>
      <c r="T19" s="29">
        <v>0</v>
      </c>
      <c r="U19" s="30">
        <f t="shared" si="11"/>
        <v>0</v>
      </c>
      <c r="V19" s="29">
        <v>0</v>
      </c>
    </row>
    <row r="20" spans="1:22">
      <c r="A20" s="36"/>
      <c r="B20" s="37" t="s">
        <v>43</v>
      </c>
      <c r="C20" s="32" t="s">
        <v>44</v>
      </c>
      <c r="D20" s="29">
        <v>30383.9</v>
      </c>
      <c r="E20" s="30">
        <f t="shared" si="8"/>
        <v>30383.9</v>
      </c>
      <c r="F20" s="29">
        <v>0</v>
      </c>
      <c r="H20" s="29">
        <v>30383.9</v>
      </c>
      <c r="I20" s="30">
        <f t="shared" si="9"/>
        <v>30383.9</v>
      </c>
      <c r="J20" s="29">
        <v>0</v>
      </c>
      <c r="L20" s="29">
        <v>30383.9</v>
      </c>
      <c r="M20" s="30">
        <f t="shared" si="10"/>
        <v>30383.9</v>
      </c>
      <c r="N20" s="29">
        <v>0</v>
      </c>
      <c r="P20" s="29">
        <v>30383.9</v>
      </c>
      <c r="Q20" s="30">
        <v>30383.9</v>
      </c>
      <c r="R20" s="29">
        <v>0</v>
      </c>
      <c r="T20" s="29">
        <v>30383.759999999998</v>
      </c>
      <c r="U20" s="30">
        <f t="shared" si="11"/>
        <v>30383.759999999998</v>
      </c>
      <c r="V20" s="29">
        <v>0</v>
      </c>
    </row>
    <row r="21" spans="1:22">
      <c r="A21" s="36" t="s">
        <v>45</v>
      </c>
      <c r="B21" s="37" t="s">
        <v>46</v>
      </c>
      <c r="C21" s="32" t="s">
        <v>47</v>
      </c>
      <c r="D21" s="29">
        <v>0</v>
      </c>
      <c r="E21" s="30">
        <f t="shared" si="8"/>
        <v>-10000</v>
      </c>
      <c r="F21" s="29">
        <v>10000</v>
      </c>
      <c r="H21" s="29">
        <v>0</v>
      </c>
      <c r="I21" s="30">
        <f t="shared" si="9"/>
        <v>0</v>
      </c>
      <c r="J21" s="29">
        <v>0</v>
      </c>
      <c r="L21" s="29">
        <v>0</v>
      </c>
      <c r="M21" s="30">
        <f t="shared" si="10"/>
        <v>0</v>
      </c>
      <c r="N21" s="29">
        <v>0</v>
      </c>
      <c r="P21" s="29">
        <v>0</v>
      </c>
      <c r="Q21" s="30">
        <v>0</v>
      </c>
      <c r="R21" s="29">
        <v>0</v>
      </c>
      <c r="T21" s="29">
        <v>0</v>
      </c>
      <c r="U21" s="30">
        <f t="shared" si="11"/>
        <v>0</v>
      </c>
      <c r="V21" s="29">
        <v>0</v>
      </c>
    </row>
    <row r="22" spans="1:22">
      <c r="A22" s="36"/>
      <c r="B22" s="37" t="s">
        <v>48</v>
      </c>
      <c r="C22" s="32" t="s">
        <v>49</v>
      </c>
      <c r="D22" s="29">
        <v>0</v>
      </c>
      <c r="E22" s="30">
        <f t="shared" si="8"/>
        <v>0</v>
      </c>
      <c r="F22" s="29">
        <v>0</v>
      </c>
      <c r="H22" s="29">
        <v>75000</v>
      </c>
      <c r="I22" s="30">
        <f t="shared" si="9"/>
        <v>75000</v>
      </c>
      <c r="J22" s="29">
        <v>0</v>
      </c>
      <c r="L22" s="29">
        <v>75000</v>
      </c>
      <c r="M22" s="30">
        <f t="shared" si="10"/>
        <v>75000</v>
      </c>
      <c r="N22" s="29">
        <v>0</v>
      </c>
      <c r="P22" s="29">
        <v>0</v>
      </c>
      <c r="Q22" s="30">
        <v>0</v>
      </c>
      <c r="R22" s="29">
        <v>0</v>
      </c>
      <c r="T22" s="29">
        <v>0</v>
      </c>
      <c r="U22" s="30">
        <f t="shared" si="11"/>
        <v>0</v>
      </c>
      <c r="V22" s="29">
        <v>0</v>
      </c>
    </row>
    <row r="23" spans="1:22">
      <c r="A23" s="39" t="s">
        <v>50</v>
      </c>
      <c r="B23" s="40"/>
      <c r="C23" s="20" t="s">
        <v>51</v>
      </c>
      <c r="D23" s="21">
        <f>SUM(D24:D31)</f>
        <v>71000</v>
      </c>
      <c r="E23" s="22">
        <f>SUM(E24:E31)</f>
        <v>4000</v>
      </c>
      <c r="F23" s="21">
        <f>SUM(F24:F31)</f>
        <v>67000</v>
      </c>
      <c r="H23" s="21">
        <f>SUM(H24:H31)</f>
        <v>71000</v>
      </c>
      <c r="I23" s="22">
        <f>SUM(I24:I31)</f>
        <v>4000</v>
      </c>
      <c r="J23" s="21">
        <f>SUM(J24:J31)</f>
        <v>67000</v>
      </c>
      <c r="L23" s="21">
        <f>SUM(L24:L31)</f>
        <v>71000</v>
      </c>
      <c r="M23" s="22">
        <f>SUM(M24:M31)</f>
        <v>4000</v>
      </c>
      <c r="N23" s="21">
        <f>SUM(N24:N31)</f>
        <v>67000</v>
      </c>
      <c r="P23" s="21">
        <v>50000</v>
      </c>
      <c r="Q23" s="22">
        <v>-107000</v>
      </c>
      <c r="R23" s="21">
        <v>157000</v>
      </c>
      <c r="T23" s="21">
        <f>SUM(T24:T31)</f>
        <v>50000</v>
      </c>
      <c r="U23" s="22">
        <f>SUM(U24:U31)</f>
        <v>-107000</v>
      </c>
      <c r="V23" s="21">
        <f>SUM(V24:V31)</f>
        <v>157000</v>
      </c>
    </row>
    <row r="24" spans="1:22">
      <c r="A24" s="36" t="s">
        <v>52</v>
      </c>
      <c r="B24" s="37" t="s">
        <v>53</v>
      </c>
      <c r="C24" s="32" t="s">
        <v>54</v>
      </c>
      <c r="D24" s="27">
        <v>0</v>
      </c>
      <c r="E24" s="28">
        <f t="shared" ref="E24:E31" si="12">-F24+D24</f>
        <v>-20000</v>
      </c>
      <c r="F24" s="27">
        <v>20000</v>
      </c>
      <c r="H24" s="27">
        <v>0</v>
      </c>
      <c r="I24" s="28">
        <f t="shared" ref="I24:I31" si="13">-J24+H24</f>
        <v>-20000</v>
      </c>
      <c r="J24" s="27">
        <v>20000</v>
      </c>
      <c r="L24" s="27">
        <v>0</v>
      </c>
      <c r="M24" s="28">
        <f t="shared" ref="M24:M31" si="14">-N24+L24</f>
        <v>-20000</v>
      </c>
      <c r="N24" s="27">
        <v>20000</v>
      </c>
      <c r="P24" s="27">
        <v>40000</v>
      </c>
      <c r="Q24" s="28">
        <v>40000</v>
      </c>
      <c r="R24" s="27">
        <v>0</v>
      </c>
      <c r="T24" s="27">
        <v>40000</v>
      </c>
      <c r="U24" s="28">
        <f t="shared" ref="U24:U31" si="15">-V24+T24</f>
        <v>40000</v>
      </c>
      <c r="V24" s="27">
        <v>0</v>
      </c>
    </row>
    <row r="25" spans="1:22">
      <c r="A25" s="36" t="s">
        <v>55</v>
      </c>
      <c r="B25" s="37" t="s">
        <v>56</v>
      </c>
      <c r="C25" s="32" t="s">
        <v>57</v>
      </c>
      <c r="D25" s="29">
        <v>0</v>
      </c>
      <c r="E25" s="30">
        <f t="shared" si="12"/>
        <v>0</v>
      </c>
      <c r="F25" s="29">
        <v>0</v>
      </c>
      <c r="H25" s="29">
        <v>0</v>
      </c>
      <c r="I25" s="30">
        <f t="shared" si="13"/>
        <v>0</v>
      </c>
      <c r="J25" s="29">
        <v>0</v>
      </c>
      <c r="L25" s="29">
        <v>0</v>
      </c>
      <c r="M25" s="30">
        <f t="shared" si="14"/>
        <v>0</v>
      </c>
      <c r="N25" s="29">
        <v>0</v>
      </c>
      <c r="P25" s="29">
        <v>0</v>
      </c>
      <c r="Q25" s="30">
        <v>-80000</v>
      </c>
      <c r="R25" s="29">
        <v>80000</v>
      </c>
      <c r="T25" s="29">
        <v>0</v>
      </c>
      <c r="U25" s="30">
        <f t="shared" si="15"/>
        <v>-80000</v>
      </c>
      <c r="V25" s="29">
        <v>80000</v>
      </c>
    </row>
    <row r="26" spans="1:22">
      <c r="A26" s="36" t="s">
        <v>52</v>
      </c>
      <c r="B26" s="37" t="s">
        <v>58</v>
      </c>
      <c r="C26" s="32" t="s">
        <v>59</v>
      </c>
      <c r="D26" s="29">
        <v>0</v>
      </c>
      <c r="E26" s="30">
        <f t="shared" si="12"/>
        <v>-5000</v>
      </c>
      <c r="F26" s="29">
        <v>5000</v>
      </c>
      <c r="H26" s="29">
        <v>0</v>
      </c>
      <c r="I26" s="30">
        <f t="shared" si="13"/>
        <v>-5000</v>
      </c>
      <c r="J26" s="29">
        <v>5000</v>
      </c>
      <c r="L26" s="29">
        <v>0</v>
      </c>
      <c r="M26" s="30">
        <f t="shared" si="14"/>
        <v>-5000</v>
      </c>
      <c r="N26" s="29">
        <v>5000</v>
      </c>
      <c r="P26" s="29">
        <v>0</v>
      </c>
      <c r="Q26" s="30">
        <v>0</v>
      </c>
      <c r="R26" s="29">
        <v>0</v>
      </c>
      <c r="T26" s="29">
        <v>0</v>
      </c>
      <c r="U26" s="30">
        <f t="shared" si="15"/>
        <v>0</v>
      </c>
      <c r="V26" s="29">
        <v>0</v>
      </c>
    </row>
    <row r="27" spans="1:22">
      <c r="A27" s="36" t="s">
        <v>55</v>
      </c>
      <c r="B27" s="37" t="s">
        <v>60</v>
      </c>
      <c r="C27" s="32" t="s">
        <v>61</v>
      </c>
      <c r="D27" s="29">
        <v>0</v>
      </c>
      <c r="E27" s="30">
        <f t="shared" si="12"/>
        <v>0</v>
      </c>
      <c r="F27" s="29">
        <v>0</v>
      </c>
      <c r="H27" s="29">
        <v>0</v>
      </c>
      <c r="I27" s="30">
        <f t="shared" si="13"/>
        <v>0</v>
      </c>
      <c r="J27" s="29">
        <v>0</v>
      </c>
      <c r="L27" s="29">
        <v>0</v>
      </c>
      <c r="M27" s="30">
        <f t="shared" si="14"/>
        <v>0</v>
      </c>
      <c r="N27" s="29">
        <v>0</v>
      </c>
      <c r="P27" s="29">
        <v>0</v>
      </c>
      <c r="Q27" s="30">
        <v>-5000</v>
      </c>
      <c r="R27" s="29">
        <v>5000</v>
      </c>
      <c r="T27" s="29">
        <v>0</v>
      </c>
      <c r="U27" s="30">
        <f t="shared" si="15"/>
        <v>-5000</v>
      </c>
      <c r="V27" s="29">
        <v>5000</v>
      </c>
    </row>
    <row r="28" spans="1:22">
      <c r="A28" s="36" t="s">
        <v>62</v>
      </c>
      <c r="B28" s="37" t="s">
        <v>63</v>
      </c>
      <c r="C28" s="32" t="s">
        <v>64</v>
      </c>
      <c r="D28" s="29">
        <v>0</v>
      </c>
      <c r="E28" s="30">
        <f t="shared" si="12"/>
        <v>-40000</v>
      </c>
      <c r="F28" s="29">
        <v>40000</v>
      </c>
      <c r="H28" s="29">
        <v>0</v>
      </c>
      <c r="I28" s="30">
        <f t="shared" si="13"/>
        <v>-40000</v>
      </c>
      <c r="J28" s="29">
        <v>40000</v>
      </c>
      <c r="L28" s="29">
        <v>0</v>
      </c>
      <c r="M28" s="30">
        <f t="shared" si="14"/>
        <v>-40000</v>
      </c>
      <c r="N28" s="29">
        <v>40000</v>
      </c>
      <c r="P28" s="29">
        <v>10000</v>
      </c>
      <c r="Q28" s="30">
        <v>10000</v>
      </c>
      <c r="R28" s="29">
        <v>0</v>
      </c>
      <c r="T28" s="29">
        <v>10000</v>
      </c>
      <c r="U28" s="30">
        <f t="shared" si="15"/>
        <v>10000</v>
      </c>
      <c r="V28" s="29">
        <v>0</v>
      </c>
    </row>
    <row r="29" spans="1:22">
      <c r="A29" s="36"/>
      <c r="B29" s="37"/>
      <c r="C29" s="32" t="s">
        <v>65</v>
      </c>
      <c r="D29" s="29">
        <v>0</v>
      </c>
      <c r="E29" s="30">
        <v>0</v>
      </c>
      <c r="F29" s="29">
        <v>0</v>
      </c>
      <c r="H29" s="29">
        <v>0</v>
      </c>
      <c r="I29" s="30">
        <v>0</v>
      </c>
      <c r="J29" s="29">
        <v>0</v>
      </c>
      <c r="L29" s="29">
        <v>0</v>
      </c>
      <c r="M29" s="30">
        <v>0</v>
      </c>
      <c r="N29" s="29">
        <v>0</v>
      </c>
      <c r="P29" s="29">
        <v>0</v>
      </c>
      <c r="Q29" s="30">
        <v>0</v>
      </c>
      <c r="R29" s="29">
        <v>0</v>
      </c>
      <c r="T29" s="29"/>
      <c r="U29" s="30"/>
      <c r="V29" s="29"/>
    </row>
    <row r="30" spans="1:22">
      <c r="A30" s="36"/>
      <c r="B30" s="37" t="s">
        <v>66</v>
      </c>
      <c r="C30" s="32" t="s">
        <v>67</v>
      </c>
      <c r="D30" s="29">
        <f>59000+12000</f>
        <v>71000</v>
      </c>
      <c r="E30" s="30">
        <f t="shared" si="12"/>
        <v>71000</v>
      </c>
      <c r="F30" s="29">
        <v>0</v>
      </c>
      <c r="H30" s="29">
        <f>59000+12000</f>
        <v>71000</v>
      </c>
      <c r="I30" s="30">
        <f t="shared" si="13"/>
        <v>71000</v>
      </c>
      <c r="J30" s="29">
        <v>0</v>
      </c>
      <c r="L30" s="29">
        <f>59000+12000</f>
        <v>71000</v>
      </c>
      <c r="M30" s="30">
        <f t="shared" si="14"/>
        <v>71000</v>
      </c>
      <c r="N30" s="29">
        <v>0</v>
      </c>
      <c r="P30" s="29">
        <v>0</v>
      </c>
      <c r="Q30" s="30">
        <v>-70000</v>
      </c>
      <c r="R30" s="29">
        <v>70000</v>
      </c>
      <c r="T30" s="29">
        <v>0</v>
      </c>
      <c r="U30" s="30">
        <f t="shared" si="15"/>
        <v>-70000</v>
      </c>
      <c r="V30" s="29">
        <v>70000</v>
      </c>
    </row>
    <row r="31" spans="1:22">
      <c r="A31" s="36" t="s">
        <v>68</v>
      </c>
      <c r="B31" s="37" t="s">
        <v>69</v>
      </c>
      <c r="C31" s="32" t="s">
        <v>70</v>
      </c>
      <c r="D31" s="29">
        <v>0</v>
      </c>
      <c r="E31" s="30">
        <f t="shared" si="12"/>
        <v>-2000</v>
      </c>
      <c r="F31" s="29">
        <v>2000</v>
      </c>
      <c r="H31" s="29">
        <v>0</v>
      </c>
      <c r="I31" s="30">
        <f t="shared" si="13"/>
        <v>-2000</v>
      </c>
      <c r="J31" s="29">
        <v>2000</v>
      </c>
      <c r="L31" s="29">
        <v>0</v>
      </c>
      <c r="M31" s="30">
        <f t="shared" si="14"/>
        <v>-2000</v>
      </c>
      <c r="N31" s="29">
        <v>2000</v>
      </c>
      <c r="P31" s="29">
        <v>0</v>
      </c>
      <c r="Q31" s="30">
        <v>-2000</v>
      </c>
      <c r="R31" s="29">
        <v>2000</v>
      </c>
      <c r="T31" s="29">
        <v>0</v>
      </c>
      <c r="U31" s="30">
        <f t="shared" si="15"/>
        <v>-2000</v>
      </c>
      <c r="V31" s="29">
        <v>2000</v>
      </c>
    </row>
    <row r="32" spans="1:22">
      <c r="A32" s="39" t="s">
        <v>71</v>
      </c>
      <c r="B32" s="40"/>
      <c r="C32" s="20" t="s">
        <v>72</v>
      </c>
      <c r="D32" s="21">
        <f>SUM(D33:D34)</f>
        <v>0</v>
      </c>
      <c r="E32" s="22">
        <f>SUM(E33:E34)</f>
        <v>0</v>
      </c>
      <c r="F32" s="21">
        <f>SUM(F33:F34)</f>
        <v>0</v>
      </c>
      <c r="H32" s="21">
        <f>SUM(H33:H34)</f>
        <v>0</v>
      </c>
      <c r="I32" s="22">
        <f>SUM(I33:I34)</f>
        <v>0</v>
      </c>
      <c r="J32" s="21">
        <f>SUM(J33:J34)</f>
        <v>0</v>
      </c>
      <c r="L32" s="21">
        <f>SUM(L33:L34)</f>
        <v>0</v>
      </c>
      <c r="M32" s="22">
        <f>SUM(M33:M34)</f>
        <v>0</v>
      </c>
      <c r="N32" s="21">
        <f>SUM(N33:N34)</f>
        <v>0</v>
      </c>
      <c r="P32" s="21">
        <v>0</v>
      </c>
      <c r="Q32" s="22">
        <v>0</v>
      </c>
      <c r="R32" s="21">
        <v>0</v>
      </c>
      <c r="T32" s="21">
        <f>SUM(T33:T34)</f>
        <v>0</v>
      </c>
      <c r="U32" s="22">
        <f>SUM(U33:U34)</f>
        <v>0</v>
      </c>
      <c r="V32" s="21">
        <f>SUM(V33:V34)</f>
        <v>0</v>
      </c>
    </row>
    <row r="33" spans="1:22">
      <c r="A33" s="41" t="s">
        <v>73</v>
      </c>
      <c r="B33" s="42" t="s">
        <v>74</v>
      </c>
      <c r="C33" s="43" t="s">
        <v>75</v>
      </c>
      <c r="D33" s="29">
        <v>0</v>
      </c>
      <c r="E33" s="30">
        <f t="shared" ref="E33:E34" si="16">-F33+D33</f>
        <v>0</v>
      </c>
      <c r="F33" s="29">
        <v>0</v>
      </c>
      <c r="H33" s="29">
        <v>0</v>
      </c>
      <c r="I33" s="30">
        <f t="shared" ref="I33:I34" si="17">-J33+H33</f>
        <v>0</v>
      </c>
      <c r="J33" s="29">
        <v>0</v>
      </c>
      <c r="L33" s="29">
        <v>0</v>
      </c>
      <c r="M33" s="30">
        <f t="shared" ref="M33:M34" si="18">-N33+L33</f>
        <v>0</v>
      </c>
      <c r="N33" s="29">
        <v>0</v>
      </c>
      <c r="P33" s="29">
        <v>0</v>
      </c>
      <c r="Q33" s="30">
        <v>0</v>
      </c>
      <c r="R33" s="29">
        <v>0</v>
      </c>
      <c r="T33" s="29">
        <v>0</v>
      </c>
      <c r="U33" s="30">
        <f t="shared" ref="U33:U34" si="19">-V33+T33</f>
        <v>0</v>
      </c>
      <c r="V33" s="29">
        <v>0</v>
      </c>
    </row>
    <row r="34" spans="1:22">
      <c r="A34" s="36" t="s">
        <v>76</v>
      </c>
      <c r="B34" s="37" t="s">
        <v>77</v>
      </c>
      <c r="C34" s="32" t="s">
        <v>78</v>
      </c>
      <c r="D34" s="29">
        <v>0</v>
      </c>
      <c r="E34" s="30">
        <f t="shared" si="16"/>
        <v>0</v>
      </c>
      <c r="F34" s="29">
        <v>0</v>
      </c>
      <c r="H34" s="29">
        <v>0</v>
      </c>
      <c r="I34" s="30">
        <f t="shared" si="17"/>
        <v>0</v>
      </c>
      <c r="J34" s="29">
        <v>0</v>
      </c>
      <c r="L34" s="29">
        <v>0</v>
      </c>
      <c r="M34" s="30">
        <f t="shared" si="18"/>
        <v>0</v>
      </c>
      <c r="N34" s="29">
        <v>0</v>
      </c>
      <c r="P34" s="29">
        <v>0</v>
      </c>
      <c r="Q34" s="30">
        <v>0</v>
      </c>
      <c r="R34" s="29">
        <v>0</v>
      </c>
      <c r="T34" s="29">
        <v>0</v>
      </c>
      <c r="U34" s="30">
        <f t="shared" si="19"/>
        <v>0</v>
      </c>
      <c r="V34" s="29">
        <v>0</v>
      </c>
    </row>
    <row r="35" spans="1:22">
      <c r="A35" s="39" t="s">
        <v>79</v>
      </c>
      <c r="B35" s="40"/>
      <c r="C35" s="20" t="s">
        <v>80</v>
      </c>
      <c r="D35" s="21">
        <f>SUM(D36:D37)</f>
        <v>295215</v>
      </c>
      <c r="E35" s="22">
        <f>SUM(E36:E37)</f>
        <v>295215</v>
      </c>
      <c r="F35" s="21">
        <f>SUM(F36:F37)</f>
        <v>0</v>
      </c>
      <c r="H35" s="21">
        <f>SUM(H36:H37)</f>
        <v>370725.14500000002</v>
      </c>
      <c r="I35" s="22">
        <f>SUM(I36:I37)</f>
        <v>370725.14500000002</v>
      </c>
      <c r="J35" s="21">
        <f>SUM(J36:J37)</f>
        <v>0</v>
      </c>
      <c r="L35" s="21">
        <f>SUM(L36:L37)</f>
        <v>370725.14500000002</v>
      </c>
      <c r="M35" s="22">
        <f>SUM(M36:M37)</f>
        <v>370725.14500000002</v>
      </c>
      <c r="N35" s="21">
        <f>SUM(N36:N37)</f>
        <v>0</v>
      </c>
      <c r="P35" s="21">
        <v>321650.06</v>
      </c>
      <c r="Q35" s="22">
        <v>321650.06</v>
      </c>
      <c r="R35" s="21">
        <v>0</v>
      </c>
      <c r="T35" s="21">
        <f>SUM(T36:T37)</f>
        <v>354406.24</v>
      </c>
      <c r="U35" s="22">
        <f>SUM(U36:U37)</f>
        <v>354406.24</v>
      </c>
      <c r="V35" s="21">
        <f>SUM(V36:V37)</f>
        <v>0</v>
      </c>
    </row>
    <row r="36" spans="1:22">
      <c r="A36" s="44" t="s">
        <v>81</v>
      </c>
      <c r="B36" s="45" t="s">
        <v>82</v>
      </c>
      <c r="C36" s="46" t="s">
        <v>83</v>
      </c>
      <c r="D36" s="29">
        <f>54000+14250</f>
        <v>68250</v>
      </c>
      <c r="E36" s="30">
        <f t="shared" ref="E36:E37" si="20">-F36+D36</f>
        <v>68250</v>
      </c>
      <c r="F36" s="29">
        <v>0</v>
      </c>
      <c r="H36" s="29">
        <v>71046.014999999999</v>
      </c>
      <c r="I36" s="30">
        <f t="shared" ref="I36:I37" si="21">-J36+H36</f>
        <v>71046.014999999999</v>
      </c>
      <c r="J36" s="29">
        <v>0</v>
      </c>
      <c r="L36" s="29">
        <v>71046.014999999999</v>
      </c>
      <c r="M36" s="30">
        <f t="shared" ref="M36:M37" si="22">-N36+L36</f>
        <v>71046.014999999999</v>
      </c>
      <c r="N36" s="29">
        <v>0</v>
      </c>
      <c r="P36" s="29">
        <v>71575.06</v>
      </c>
      <c r="Q36" s="30">
        <v>71575.06</v>
      </c>
      <c r="R36" s="29">
        <v>0</v>
      </c>
      <c r="T36" s="29">
        <f>32870+27442.38</f>
        <v>60312.380000000005</v>
      </c>
      <c r="U36" s="30">
        <f t="shared" ref="U36:U37" si="23">-V36+T36</f>
        <v>60312.380000000005</v>
      </c>
      <c r="V36" s="29">
        <v>0</v>
      </c>
    </row>
    <row r="37" spans="1:22">
      <c r="A37" s="44" t="s">
        <v>84</v>
      </c>
      <c r="B37" s="45" t="s">
        <v>85</v>
      </c>
      <c r="C37" s="46" t="s">
        <v>86</v>
      </c>
      <c r="D37" s="29">
        <v>226965</v>
      </c>
      <c r="E37" s="30">
        <f t="shared" si="20"/>
        <v>226965</v>
      </c>
      <c r="F37" s="29">
        <v>0</v>
      </c>
      <c r="H37" s="29">
        <v>299679.13</v>
      </c>
      <c r="I37" s="30">
        <f t="shared" si="21"/>
        <v>299679.13</v>
      </c>
      <c r="J37" s="29">
        <v>0</v>
      </c>
      <c r="L37" s="29">
        <v>299679.13</v>
      </c>
      <c r="M37" s="30">
        <f t="shared" si="22"/>
        <v>299679.13</v>
      </c>
      <c r="N37" s="29">
        <v>0</v>
      </c>
      <c r="P37" s="29">
        <v>250075</v>
      </c>
      <c r="Q37" s="30">
        <v>250075</v>
      </c>
      <c r="R37" s="29">
        <v>0</v>
      </c>
      <c r="T37" s="29">
        <v>294093.86</v>
      </c>
      <c r="U37" s="30">
        <f t="shared" si="23"/>
        <v>294093.86</v>
      </c>
      <c r="V37" s="29">
        <v>0</v>
      </c>
    </row>
    <row r="38" spans="1:22" ht="21">
      <c r="A38" s="47" t="s">
        <v>87</v>
      </c>
      <c r="B38" s="48"/>
      <c r="C38" s="49" t="s">
        <v>88</v>
      </c>
      <c r="D38" s="50">
        <f>SUM(D39,D46,D57,D68,D78,D89+D100)</f>
        <v>1228606</v>
      </c>
      <c r="E38" s="51">
        <f>SUM(E39,E46,E57,E68,E78,E89,E100)</f>
        <v>613903.98</v>
      </c>
      <c r="F38" s="50">
        <f>SUM(F39,F46,F57,F68,F78,F89+F100)</f>
        <v>614702.02</v>
      </c>
      <c r="H38" s="50">
        <f>SUM(H39,H46,H57,H68,H78,H89+H100)</f>
        <v>1056584</v>
      </c>
      <c r="I38" s="51">
        <f>SUM(I39,I46,I57,I68,I78,I89,I100)</f>
        <v>418421.98</v>
      </c>
      <c r="J38" s="50">
        <f>SUM(J39,J46,J57,J68,J78,J89+J100)</f>
        <v>638162.02</v>
      </c>
      <c r="L38" s="50">
        <f>SUM(L39,L46,L57,L68,L78,L89+L100)</f>
        <v>1095629</v>
      </c>
      <c r="M38" s="51">
        <f>SUM(M39,M46,M57,M68,M78,M89,M100)</f>
        <v>432971.98</v>
      </c>
      <c r="N38" s="50">
        <f>SUM(N39,N46,N57,N68,N78,N89+N100)</f>
        <v>662657.02</v>
      </c>
      <c r="P38" s="50">
        <v>973075</v>
      </c>
      <c r="Q38" s="51">
        <v>424932.62</v>
      </c>
      <c r="R38" s="50">
        <v>548142.38</v>
      </c>
      <c r="T38" s="50">
        <f>SUM(T39,T46,T57,T68,T78,T89+T100)</f>
        <v>958901</v>
      </c>
      <c r="U38" s="51">
        <f>SUM(U39,U46,U57,U68,U78,U89,U100)</f>
        <v>367554.62</v>
      </c>
      <c r="V38" s="50">
        <f>SUM(V39,V46,V57,V68,V78,V89+V100)</f>
        <v>591346.38</v>
      </c>
    </row>
    <row r="39" spans="1:22">
      <c r="A39" s="39" t="s">
        <v>89</v>
      </c>
      <c r="B39" s="40"/>
      <c r="C39" s="20" t="s">
        <v>90</v>
      </c>
      <c r="D39" s="21">
        <f>SUM(D40:D45)</f>
        <v>818000</v>
      </c>
      <c r="E39" s="22">
        <f>SUM(E40:E45)</f>
        <v>653000</v>
      </c>
      <c r="F39" s="21">
        <f>SUM(F40:F45)</f>
        <v>165000</v>
      </c>
      <c r="G39" s="23"/>
      <c r="H39" s="21">
        <f>SUM(H40:H45)</f>
        <v>637518</v>
      </c>
      <c r="I39" s="22">
        <f>SUM(I40:I45)</f>
        <v>457518</v>
      </c>
      <c r="J39" s="21">
        <f>SUM(J40:J45)</f>
        <v>180000</v>
      </c>
      <c r="L39" s="21">
        <f>SUM(L40:L45)</f>
        <v>660318</v>
      </c>
      <c r="M39" s="22">
        <f>SUM(M40:M45)</f>
        <v>471318</v>
      </c>
      <c r="N39" s="21">
        <f>SUM(N40:N45)</f>
        <v>189000</v>
      </c>
      <c r="P39" s="21">
        <v>457500</v>
      </c>
      <c r="Q39" s="22">
        <v>457500</v>
      </c>
      <c r="R39" s="21">
        <v>0</v>
      </c>
      <c r="T39" s="21">
        <f>SUM(T40:T44)</f>
        <v>411000</v>
      </c>
      <c r="U39" s="22">
        <f>SUM(U40:U44)</f>
        <v>411000</v>
      </c>
      <c r="V39" s="21">
        <f>SUM(V40:V44)</f>
        <v>0</v>
      </c>
    </row>
    <row r="40" spans="1:22">
      <c r="A40" s="36" t="s">
        <v>91</v>
      </c>
      <c r="B40" s="37" t="s">
        <v>92</v>
      </c>
      <c r="C40" s="32" t="s">
        <v>93</v>
      </c>
      <c r="D40" s="27">
        <f>25000*6</f>
        <v>150000</v>
      </c>
      <c r="E40" s="28">
        <f t="shared" ref="E40:E45" si="24">-F40+D40</f>
        <v>150000</v>
      </c>
      <c r="F40" s="27">
        <v>0</v>
      </c>
      <c r="H40" s="27">
        <v>0</v>
      </c>
      <c r="I40" s="28">
        <f t="shared" ref="I40:I45" si="25">-J40+H40</f>
        <v>0</v>
      </c>
      <c r="J40" s="27">
        <v>0</v>
      </c>
      <c r="L40" s="27">
        <v>0</v>
      </c>
      <c r="M40" s="28">
        <f t="shared" ref="M40:M45" si="26">-N40+L40</f>
        <v>0</v>
      </c>
      <c r="N40" s="27">
        <v>0</v>
      </c>
      <c r="P40" s="27">
        <v>120000</v>
      </c>
      <c r="Q40" s="28">
        <v>120000</v>
      </c>
      <c r="R40" s="27">
        <v>0</v>
      </c>
      <c r="T40" s="27">
        <f>20000*6</f>
        <v>120000</v>
      </c>
      <c r="U40" s="28">
        <f t="shared" ref="U40:U45" si="27">-V40+T40</f>
        <v>120000</v>
      </c>
      <c r="V40" s="27">
        <v>0</v>
      </c>
    </row>
    <row r="41" spans="1:22">
      <c r="A41" s="36" t="s">
        <v>94</v>
      </c>
      <c r="B41" s="37" t="s">
        <v>95</v>
      </c>
      <c r="C41" s="32" t="s">
        <v>96</v>
      </c>
      <c r="D41" s="27">
        <f>5000*6</f>
        <v>30000</v>
      </c>
      <c r="E41" s="28">
        <f t="shared" si="24"/>
        <v>30000</v>
      </c>
      <c r="F41" s="27">
        <v>0</v>
      </c>
      <c r="H41" s="27">
        <f>3*H3</f>
        <v>102318</v>
      </c>
      <c r="I41" s="28">
        <f t="shared" si="25"/>
        <v>102318</v>
      </c>
      <c r="J41" s="27">
        <v>0</v>
      </c>
      <c r="L41" s="27">
        <f>3*L3</f>
        <v>102318</v>
      </c>
      <c r="M41" s="28">
        <f t="shared" si="26"/>
        <v>102318</v>
      </c>
      <c r="N41" s="27">
        <v>0</v>
      </c>
      <c r="P41" s="27">
        <v>0</v>
      </c>
      <c r="Q41" s="28">
        <v>0</v>
      </c>
      <c r="R41" s="27">
        <v>0</v>
      </c>
      <c r="T41" s="27">
        <v>0</v>
      </c>
      <c r="U41" s="28">
        <f t="shared" si="27"/>
        <v>0</v>
      </c>
      <c r="V41" s="27">
        <v>0</v>
      </c>
    </row>
    <row r="42" spans="1:22">
      <c r="A42" s="52" t="s">
        <v>97</v>
      </c>
      <c r="B42" s="53" t="s">
        <v>98</v>
      </c>
      <c r="C42" s="54" t="s">
        <v>99</v>
      </c>
      <c r="D42" s="27">
        <f>E3*11</f>
        <v>308000</v>
      </c>
      <c r="E42" s="28">
        <f t="shared" si="24"/>
        <v>308000</v>
      </c>
      <c r="F42" s="27">
        <v>0</v>
      </c>
      <c r="H42" s="27">
        <f>I3*6</f>
        <v>175200</v>
      </c>
      <c r="I42" s="28">
        <f t="shared" si="25"/>
        <v>175200</v>
      </c>
      <c r="J42" s="27">
        <v>0</v>
      </c>
      <c r="L42" s="27">
        <f>M3*6</f>
        <v>180000</v>
      </c>
      <c r="M42" s="28">
        <f t="shared" si="26"/>
        <v>180000</v>
      </c>
      <c r="N42" s="27">
        <v>0</v>
      </c>
      <c r="P42" s="27">
        <v>195000</v>
      </c>
      <c r="Q42" s="28">
        <v>195000</v>
      </c>
      <c r="R42" s="27">
        <v>0</v>
      </c>
      <c r="T42" s="27">
        <f>U3*6</f>
        <v>204000</v>
      </c>
      <c r="U42" s="28">
        <f t="shared" si="27"/>
        <v>204000</v>
      </c>
      <c r="V42" s="27">
        <v>0</v>
      </c>
    </row>
    <row r="43" spans="1:22">
      <c r="A43" s="52"/>
      <c r="B43" s="53" t="s">
        <v>100</v>
      </c>
      <c r="C43" s="54" t="s">
        <v>101</v>
      </c>
      <c r="D43" s="29">
        <f>F3*11</f>
        <v>330000</v>
      </c>
      <c r="E43" s="30">
        <f t="shared" si="24"/>
        <v>330000</v>
      </c>
      <c r="F43" s="29">
        <v>0</v>
      </c>
      <c r="H43" s="29">
        <f>J3*12</f>
        <v>360000</v>
      </c>
      <c r="I43" s="30">
        <f t="shared" si="25"/>
        <v>360000</v>
      </c>
      <c r="J43" s="29">
        <v>0</v>
      </c>
      <c r="L43" s="29">
        <f>N3*12</f>
        <v>378000</v>
      </c>
      <c r="M43" s="30">
        <f t="shared" si="26"/>
        <v>378000</v>
      </c>
      <c r="N43" s="29">
        <v>0</v>
      </c>
      <c r="P43" s="29">
        <v>142500</v>
      </c>
      <c r="Q43" s="30">
        <v>142500</v>
      </c>
      <c r="R43" s="29">
        <v>0</v>
      </c>
      <c r="T43" s="29">
        <f>V3*6-T40</f>
        <v>87000</v>
      </c>
      <c r="U43" s="30">
        <f t="shared" si="27"/>
        <v>87000</v>
      </c>
      <c r="V43" s="29">
        <v>0</v>
      </c>
    </row>
    <row r="44" spans="1:22">
      <c r="A44" s="52" t="s">
        <v>102</v>
      </c>
      <c r="B44" s="53" t="s">
        <v>103</v>
      </c>
      <c r="C44" s="54" t="s">
        <v>104</v>
      </c>
      <c r="D44" s="29">
        <v>0</v>
      </c>
      <c r="E44" s="30">
        <f t="shared" si="24"/>
        <v>0</v>
      </c>
      <c r="F44" s="29">
        <v>0</v>
      </c>
      <c r="H44" s="29">
        <v>0</v>
      </c>
      <c r="I44" s="30">
        <f t="shared" si="25"/>
        <v>0</v>
      </c>
      <c r="J44" s="29">
        <v>0</v>
      </c>
      <c r="L44" s="29">
        <v>0</v>
      </c>
      <c r="M44" s="30">
        <f t="shared" si="26"/>
        <v>0</v>
      </c>
      <c r="N44" s="29">
        <v>0</v>
      </c>
      <c r="P44" s="38">
        <v>0</v>
      </c>
      <c r="Q44" s="30">
        <v>0</v>
      </c>
      <c r="R44" s="29">
        <v>0</v>
      </c>
      <c r="T44" s="38">
        <v>0</v>
      </c>
      <c r="U44" s="30">
        <f t="shared" si="27"/>
        <v>0</v>
      </c>
      <c r="V44" s="29">
        <v>0</v>
      </c>
    </row>
    <row r="45" spans="1:22">
      <c r="A45" s="52"/>
      <c r="B45" s="53"/>
      <c r="C45" s="54" t="s">
        <v>105</v>
      </c>
      <c r="D45" s="38">
        <v>0</v>
      </c>
      <c r="E45" s="30">
        <f t="shared" si="24"/>
        <v>-165000</v>
      </c>
      <c r="F45" s="29">
        <f>D43/2</f>
        <v>165000</v>
      </c>
      <c r="H45" s="38">
        <v>0</v>
      </c>
      <c r="I45" s="30">
        <f t="shared" si="25"/>
        <v>-180000</v>
      </c>
      <c r="J45" s="29">
        <f>H43/2</f>
        <v>180000</v>
      </c>
      <c r="L45" s="38">
        <v>0</v>
      </c>
      <c r="M45" s="30">
        <f t="shared" si="26"/>
        <v>-189000</v>
      </c>
      <c r="N45" s="29">
        <f>L43/2</f>
        <v>189000</v>
      </c>
      <c r="P45" s="38">
        <v>0</v>
      </c>
      <c r="Q45" s="30">
        <v>0</v>
      </c>
      <c r="R45" s="29">
        <v>0</v>
      </c>
      <c r="T45" s="38">
        <v>0</v>
      </c>
      <c r="U45" s="30">
        <f t="shared" si="27"/>
        <v>0</v>
      </c>
      <c r="V45" s="29">
        <v>0</v>
      </c>
    </row>
    <row r="46" spans="1:22">
      <c r="A46" s="39" t="s">
        <v>106</v>
      </c>
      <c r="B46" s="40"/>
      <c r="C46" s="20" t="s">
        <v>107</v>
      </c>
      <c r="D46" s="21">
        <f>SUM(D47:D56)</f>
        <v>87000</v>
      </c>
      <c r="E46" s="22">
        <f>SUM(E47,E56)</f>
        <v>0</v>
      </c>
      <c r="F46" s="21">
        <f>SUM(F47:F56)</f>
        <v>87000</v>
      </c>
      <c r="H46" s="21">
        <f>SUM(H47:H56)</f>
        <v>88800</v>
      </c>
      <c r="I46" s="22">
        <f>SUM(I47,I56)</f>
        <v>0</v>
      </c>
      <c r="J46" s="21">
        <f>SUM(J47:J56)</f>
        <v>88800</v>
      </c>
      <c r="L46" s="21">
        <f>SUM(L47:L56)</f>
        <v>92250</v>
      </c>
      <c r="M46" s="22">
        <f>SUM(M47,M56)</f>
        <v>0</v>
      </c>
      <c r="N46" s="21">
        <f>SUM(N47:N56)</f>
        <v>92250</v>
      </c>
      <c r="P46" s="21">
        <v>101250</v>
      </c>
      <c r="Q46" s="22">
        <v>0</v>
      </c>
      <c r="R46" s="21">
        <v>101250</v>
      </c>
      <c r="T46" s="21">
        <f>SUM(T47:T56)</f>
        <v>102750</v>
      </c>
      <c r="U46" s="22">
        <f>SUM(U47:U56)</f>
        <v>-153</v>
      </c>
      <c r="V46" s="21">
        <f>SUM(V47:V56)</f>
        <v>102903</v>
      </c>
    </row>
    <row r="47" spans="1:22">
      <c r="A47" s="36" t="s">
        <v>108</v>
      </c>
      <c r="B47" s="37" t="s">
        <v>109</v>
      </c>
      <c r="C47" s="32" t="s">
        <v>93</v>
      </c>
      <c r="D47" s="27">
        <v>0</v>
      </c>
      <c r="E47" s="28">
        <f t="shared" ref="E47:E56" si="28">-F47+D47</f>
        <v>0</v>
      </c>
      <c r="F47" s="27">
        <v>0</v>
      </c>
      <c r="H47" s="27">
        <v>0</v>
      </c>
      <c r="I47" s="28">
        <f t="shared" ref="I47:I56" si="29">-J47+H47</f>
        <v>0</v>
      </c>
      <c r="J47" s="27">
        <v>0</v>
      </c>
      <c r="L47" s="27">
        <v>0</v>
      </c>
      <c r="M47" s="28">
        <f t="shared" ref="M47:M56" si="30">-N47+L47</f>
        <v>0</v>
      </c>
      <c r="N47" s="27">
        <v>0</v>
      </c>
      <c r="P47" s="27">
        <v>0</v>
      </c>
      <c r="Q47" s="28">
        <v>0</v>
      </c>
      <c r="R47" s="27">
        <v>0</v>
      </c>
      <c r="T47" s="27">
        <v>0</v>
      </c>
      <c r="U47" s="28">
        <f t="shared" ref="U47:U56" si="31">-V47+T47</f>
        <v>0</v>
      </c>
      <c r="V47" s="27">
        <v>0</v>
      </c>
    </row>
    <row r="48" spans="1:22">
      <c r="A48" s="36"/>
      <c r="B48" s="37" t="s">
        <v>110</v>
      </c>
      <c r="C48" s="32" t="s">
        <v>111</v>
      </c>
      <c r="D48" s="27">
        <v>0</v>
      </c>
      <c r="E48" s="28">
        <f t="shared" si="28"/>
        <v>0</v>
      </c>
      <c r="F48" s="27">
        <v>0</v>
      </c>
      <c r="H48" s="27">
        <v>0</v>
      </c>
      <c r="I48" s="28">
        <f t="shared" si="29"/>
        <v>0</v>
      </c>
      <c r="J48" s="27">
        <v>0</v>
      </c>
      <c r="L48" s="27">
        <v>0</v>
      </c>
      <c r="M48" s="28">
        <f t="shared" si="30"/>
        <v>0</v>
      </c>
      <c r="N48" s="27">
        <v>0</v>
      </c>
      <c r="P48" s="27">
        <v>0</v>
      </c>
      <c r="Q48" s="28">
        <v>0</v>
      </c>
      <c r="R48" s="27">
        <v>0</v>
      </c>
      <c r="T48" s="27">
        <v>0</v>
      </c>
      <c r="U48" s="28">
        <f t="shared" si="31"/>
        <v>0</v>
      </c>
      <c r="V48" s="27">
        <v>0</v>
      </c>
    </row>
    <row r="49" spans="1:22">
      <c r="A49" s="36" t="s">
        <v>112</v>
      </c>
      <c r="B49" s="37" t="s">
        <v>113</v>
      </c>
      <c r="C49" s="32" t="s">
        <v>96</v>
      </c>
      <c r="D49" s="27">
        <v>0</v>
      </c>
      <c r="E49" s="28">
        <f t="shared" si="28"/>
        <v>0</v>
      </c>
      <c r="F49" s="27">
        <v>0</v>
      </c>
      <c r="H49" s="27">
        <v>0</v>
      </c>
      <c r="I49" s="28">
        <f t="shared" si="29"/>
        <v>0</v>
      </c>
      <c r="J49" s="27">
        <v>0</v>
      </c>
      <c r="L49" s="27">
        <v>0</v>
      </c>
      <c r="M49" s="28">
        <f t="shared" si="30"/>
        <v>0</v>
      </c>
      <c r="N49" s="27">
        <v>0</v>
      </c>
      <c r="P49" s="27">
        <v>0</v>
      </c>
      <c r="Q49" s="28">
        <v>0</v>
      </c>
      <c r="R49" s="27">
        <v>0</v>
      </c>
      <c r="T49" s="27">
        <v>0</v>
      </c>
      <c r="U49" s="28">
        <f t="shared" si="31"/>
        <v>0</v>
      </c>
      <c r="V49" s="27">
        <v>0</v>
      </c>
    </row>
    <row r="50" spans="1:22">
      <c r="A50" s="36"/>
      <c r="B50" s="37" t="s">
        <v>114</v>
      </c>
      <c r="C50" s="32" t="s">
        <v>115</v>
      </c>
      <c r="D50" s="27">
        <v>0</v>
      </c>
      <c r="E50" s="28">
        <f t="shared" si="28"/>
        <v>0</v>
      </c>
      <c r="F50" s="27">
        <v>0</v>
      </c>
      <c r="H50" s="27">
        <v>0</v>
      </c>
      <c r="I50" s="28">
        <f t="shared" si="29"/>
        <v>0</v>
      </c>
      <c r="J50" s="27">
        <v>0</v>
      </c>
      <c r="L50" s="27">
        <v>0</v>
      </c>
      <c r="M50" s="28">
        <f t="shared" si="30"/>
        <v>0</v>
      </c>
      <c r="N50" s="27">
        <v>0</v>
      </c>
      <c r="P50" s="27">
        <v>0</v>
      </c>
      <c r="Q50" s="28">
        <v>0</v>
      </c>
      <c r="R50" s="27">
        <v>0</v>
      </c>
      <c r="T50" s="27">
        <v>0</v>
      </c>
      <c r="U50" s="28">
        <f t="shared" si="31"/>
        <v>0</v>
      </c>
      <c r="V50" s="27">
        <v>0</v>
      </c>
    </row>
    <row r="51" spans="1:22">
      <c r="A51" s="36" t="s">
        <v>116</v>
      </c>
      <c r="B51" s="37" t="s">
        <v>117</v>
      </c>
      <c r="C51" s="54" t="s">
        <v>99</v>
      </c>
      <c r="D51" s="27">
        <f>E3*1.5</f>
        <v>42000</v>
      </c>
      <c r="E51" s="28">
        <f t="shared" si="28"/>
        <v>42000</v>
      </c>
      <c r="F51" s="27">
        <v>0</v>
      </c>
      <c r="H51" s="27">
        <f>I3*1.5</f>
        <v>43800</v>
      </c>
      <c r="I51" s="28">
        <f t="shared" si="29"/>
        <v>43800</v>
      </c>
      <c r="J51" s="27">
        <v>0</v>
      </c>
      <c r="L51" s="27">
        <f>M3*1.5</f>
        <v>45000</v>
      </c>
      <c r="M51" s="28">
        <f t="shared" si="30"/>
        <v>45000</v>
      </c>
      <c r="N51" s="27">
        <v>0</v>
      </c>
      <c r="P51" s="27">
        <v>48750</v>
      </c>
      <c r="Q51" s="28">
        <v>48750</v>
      </c>
      <c r="R51" s="27">
        <v>0</v>
      </c>
      <c r="T51" s="27">
        <f>U3*1.5</f>
        <v>51000</v>
      </c>
      <c r="U51" s="28">
        <f t="shared" si="31"/>
        <v>51000</v>
      </c>
      <c r="V51" s="27">
        <v>0</v>
      </c>
    </row>
    <row r="52" spans="1:22">
      <c r="A52" s="36"/>
      <c r="B52" s="37" t="s">
        <v>118</v>
      </c>
      <c r="C52" s="54" t="s">
        <v>119</v>
      </c>
      <c r="D52" s="27"/>
      <c r="E52" s="28">
        <f t="shared" si="28"/>
        <v>-42000</v>
      </c>
      <c r="F52" s="27">
        <f>E3*1.5</f>
        <v>42000</v>
      </c>
      <c r="H52" s="27"/>
      <c r="I52" s="28">
        <f t="shared" si="29"/>
        <v>-43800</v>
      </c>
      <c r="J52" s="27">
        <f>I3*1.5</f>
        <v>43800</v>
      </c>
      <c r="L52" s="27"/>
      <c r="M52" s="28">
        <f t="shared" si="30"/>
        <v>-45000</v>
      </c>
      <c r="N52" s="27">
        <f>M3*1.5</f>
        <v>45000</v>
      </c>
      <c r="P52" s="27"/>
      <c r="Q52" s="28">
        <v>-48750</v>
      </c>
      <c r="R52" s="27">
        <v>48750</v>
      </c>
      <c r="T52" s="27"/>
      <c r="U52" s="28">
        <f t="shared" si="31"/>
        <v>-51153</v>
      </c>
      <c r="V52" s="27">
        <f>T3*1.5</f>
        <v>51153</v>
      </c>
    </row>
    <row r="53" spans="1:22">
      <c r="A53" s="36"/>
      <c r="B53" s="37" t="s">
        <v>120</v>
      </c>
      <c r="C53" s="54" t="s">
        <v>101</v>
      </c>
      <c r="D53" s="27">
        <f>F3*1.5</f>
        <v>45000</v>
      </c>
      <c r="E53" s="28">
        <f t="shared" si="28"/>
        <v>45000</v>
      </c>
      <c r="F53" s="27">
        <v>0</v>
      </c>
      <c r="H53" s="27">
        <f>J3*1.5</f>
        <v>45000</v>
      </c>
      <c r="I53" s="28">
        <f t="shared" si="29"/>
        <v>45000</v>
      </c>
      <c r="J53" s="27">
        <v>0</v>
      </c>
      <c r="L53" s="27">
        <f>N3*1.5</f>
        <v>47250</v>
      </c>
      <c r="M53" s="28">
        <f t="shared" si="30"/>
        <v>47250</v>
      </c>
      <c r="N53" s="27">
        <v>0</v>
      </c>
      <c r="P53" s="27">
        <v>52500</v>
      </c>
      <c r="Q53" s="28">
        <v>52500</v>
      </c>
      <c r="R53" s="27">
        <v>0</v>
      </c>
      <c r="T53" s="27">
        <f>V3*1.5</f>
        <v>51750</v>
      </c>
      <c r="U53" s="28">
        <f t="shared" si="31"/>
        <v>51750</v>
      </c>
      <c r="V53" s="27">
        <v>0</v>
      </c>
    </row>
    <row r="54" spans="1:22">
      <c r="A54" s="36"/>
      <c r="B54" s="37" t="s">
        <v>121</v>
      </c>
      <c r="C54" s="54" t="s">
        <v>122</v>
      </c>
      <c r="D54" s="27"/>
      <c r="E54" s="28">
        <f t="shared" si="28"/>
        <v>-45000</v>
      </c>
      <c r="F54" s="27">
        <f>F3*1.5</f>
        <v>45000</v>
      </c>
      <c r="H54" s="27"/>
      <c r="I54" s="28">
        <f t="shared" si="29"/>
        <v>-45000</v>
      </c>
      <c r="J54" s="27">
        <f>J3*1.5</f>
        <v>45000</v>
      </c>
      <c r="L54" s="27"/>
      <c r="M54" s="28">
        <f t="shared" si="30"/>
        <v>-47250</v>
      </c>
      <c r="N54" s="27">
        <f>N3*1.5</f>
        <v>47250</v>
      </c>
      <c r="P54" s="27"/>
      <c r="Q54" s="28">
        <v>-52500</v>
      </c>
      <c r="R54" s="27">
        <v>52500</v>
      </c>
      <c r="T54" s="27"/>
      <c r="U54" s="28">
        <f t="shared" si="31"/>
        <v>-51750</v>
      </c>
      <c r="V54" s="27">
        <f>V3*1.5</f>
        <v>51750</v>
      </c>
    </row>
    <row r="55" spans="1:22">
      <c r="A55" s="36" t="s">
        <v>123</v>
      </c>
      <c r="B55" s="37" t="s">
        <v>124</v>
      </c>
      <c r="C55" s="54" t="s">
        <v>104</v>
      </c>
      <c r="D55" s="29">
        <v>0</v>
      </c>
      <c r="E55" s="30">
        <f t="shared" si="28"/>
        <v>0</v>
      </c>
      <c r="F55" s="29">
        <v>0</v>
      </c>
      <c r="H55" s="29">
        <v>0</v>
      </c>
      <c r="I55" s="30">
        <f t="shared" si="29"/>
        <v>0</v>
      </c>
      <c r="J55" s="29">
        <v>0</v>
      </c>
      <c r="L55" s="29">
        <v>0</v>
      </c>
      <c r="M55" s="30">
        <f t="shared" si="30"/>
        <v>0</v>
      </c>
      <c r="N55" s="29">
        <v>0</v>
      </c>
      <c r="P55" s="29">
        <v>0</v>
      </c>
      <c r="Q55" s="30">
        <v>0</v>
      </c>
      <c r="R55" s="29">
        <v>0</v>
      </c>
      <c r="T55" s="29">
        <v>0</v>
      </c>
      <c r="U55" s="30">
        <f t="shared" si="31"/>
        <v>0</v>
      </c>
      <c r="V55" s="29">
        <v>0</v>
      </c>
    </row>
    <row r="56" spans="1:22">
      <c r="A56" s="36"/>
      <c r="B56" s="37" t="s">
        <v>125</v>
      </c>
      <c r="C56" s="54" t="s">
        <v>126</v>
      </c>
      <c r="D56" s="29">
        <v>0</v>
      </c>
      <c r="E56" s="30">
        <f t="shared" si="28"/>
        <v>0</v>
      </c>
      <c r="F56" s="29">
        <v>0</v>
      </c>
      <c r="H56" s="29">
        <v>0</v>
      </c>
      <c r="I56" s="30">
        <f t="shared" si="29"/>
        <v>0</v>
      </c>
      <c r="J56" s="29">
        <v>0</v>
      </c>
      <c r="L56" s="29">
        <v>0</v>
      </c>
      <c r="M56" s="30">
        <f t="shared" si="30"/>
        <v>0</v>
      </c>
      <c r="N56" s="29">
        <v>0</v>
      </c>
      <c r="P56" s="29">
        <v>0</v>
      </c>
      <c r="Q56" s="30">
        <v>0</v>
      </c>
      <c r="R56" s="29">
        <v>0</v>
      </c>
      <c r="T56" s="29">
        <v>0</v>
      </c>
      <c r="U56" s="30">
        <f t="shared" si="31"/>
        <v>0</v>
      </c>
      <c r="V56" s="29">
        <v>0</v>
      </c>
    </row>
    <row r="57" spans="1:22">
      <c r="A57" s="33" t="s">
        <v>127</v>
      </c>
      <c r="B57" s="34"/>
      <c r="C57" s="35" t="s">
        <v>128</v>
      </c>
      <c r="D57" s="21">
        <f>SUM(D58:D67)</f>
        <v>174000</v>
      </c>
      <c r="E57" s="22">
        <f>SUM(E58:E67)</f>
        <v>0</v>
      </c>
      <c r="F57" s="21">
        <f>SUM(F58:F67)</f>
        <v>174000</v>
      </c>
      <c r="H57" s="21">
        <f>SUM(H58:H67)</f>
        <v>177600</v>
      </c>
      <c r="I57" s="22">
        <f>SUM(I58:I67)</f>
        <v>0</v>
      </c>
      <c r="J57" s="21">
        <f>SUM(J58:J67)</f>
        <v>177600</v>
      </c>
      <c r="L57" s="21">
        <f>SUM(L58:L67)</f>
        <v>184500</v>
      </c>
      <c r="M57" s="22">
        <f>SUM(M58:M67)</f>
        <v>0</v>
      </c>
      <c r="N57" s="21">
        <f>SUM(N58:N67)</f>
        <v>184500</v>
      </c>
      <c r="P57" s="21">
        <v>202500</v>
      </c>
      <c r="Q57" s="22">
        <v>0</v>
      </c>
      <c r="R57" s="21">
        <v>202500</v>
      </c>
      <c r="T57" s="21">
        <f>SUM(T58:T67)</f>
        <v>205500</v>
      </c>
      <c r="U57" s="22">
        <f>SUM(U58:U67)</f>
        <v>0</v>
      </c>
      <c r="V57" s="21">
        <f>SUM(V58:V67)</f>
        <v>205500</v>
      </c>
    </row>
    <row r="58" spans="1:22">
      <c r="A58" s="36" t="s">
        <v>129</v>
      </c>
      <c r="B58" s="37" t="s">
        <v>130</v>
      </c>
      <c r="C58" s="32" t="s">
        <v>93</v>
      </c>
      <c r="D58" s="27">
        <v>0</v>
      </c>
      <c r="E58" s="28">
        <f t="shared" ref="E58:E67" si="32">-F58+D58</f>
        <v>0</v>
      </c>
      <c r="F58" s="27">
        <v>0</v>
      </c>
      <c r="H58" s="27">
        <v>0</v>
      </c>
      <c r="I58" s="28">
        <f t="shared" ref="I58:I67" si="33">-J58+H58</f>
        <v>0</v>
      </c>
      <c r="J58" s="27">
        <v>0</v>
      </c>
      <c r="L58" s="27">
        <v>0</v>
      </c>
      <c r="M58" s="28">
        <f t="shared" ref="M58:M67" si="34">-N58+L58</f>
        <v>0</v>
      </c>
      <c r="N58" s="27">
        <v>0</v>
      </c>
      <c r="P58" s="27">
        <v>0</v>
      </c>
      <c r="Q58" s="28">
        <v>0</v>
      </c>
      <c r="R58" s="27">
        <v>0</v>
      </c>
      <c r="T58" s="27">
        <v>0</v>
      </c>
      <c r="U58" s="28">
        <f t="shared" ref="U58:U67" si="35">-V58+T58</f>
        <v>0</v>
      </c>
      <c r="V58" s="27">
        <v>0</v>
      </c>
    </row>
    <row r="59" spans="1:22">
      <c r="A59" s="36"/>
      <c r="B59" s="37" t="s">
        <v>131</v>
      </c>
      <c r="C59" s="32" t="s">
        <v>111</v>
      </c>
      <c r="D59" s="27">
        <v>0</v>
      </c>
      <c r="E59" s="28">
        <f t="shared" si="32"/>
        <v>0</v>
      </c>
      <c r="F59" s="27">
        <v>0</v>
      </c>
      <c r="H59" s="27">
        <v>0</v>
      </c>
      <c r="I59" s="28">
        <f t="shared" si="33"/>
        <v>0</v>
      </c>
      <c r="J59" s="27">
        <v>0</v>
      </c>
      <c r="L59" s="27">
        <v>0</v>
      </c>
      <c r="M59" s="28">
        <f t="shared" si="34"/>
        <v>0</v>
      </c>
      <c r="N59" s="27">
        <v>0</v>
      </c>
      <c r="P59" s="27">
        <v>0</v>
      </c>
      <c r="Q59" s="28">
        <v>0</v>
      </c>
      <c r="R59" s="27">
        <v>0</v>
      </c>
      <c r="T59" s="27">
        <v>0</v>
      </c>
      <c r="U59" s="28">
        <f t="shared" si="35"/>
        <v>0</v>
      </c>
      <c r="V59" s="27">
        <v>0</v>
      </c>
    </row>
    <row r="60" spans="1:22">
      <c r="A60" s="36" t="s">
        <v>132</v>
      </c>
      <c r="B60" s="37" t="s">
        <v>133</v>
      </c>
      <c r="C60" s="32" t="s">
        <v>96</v>
      </c>
      <c r="D60" s="27">
        <v>0</v>
      </c>
      <c r="E60" s="28">
        <f t="shared" si="32"/>
        <v>0</v>
      </c>
      <c r="F60" s="27">
        <v>0</v>
      </c>
      <c r="H60" s="27">
        <v>0</v>
      </c>
      <c r="I60" s="28">
        <f t="shared" si="33"/>
        <v>0</v>
      </c>
      <c r="J60" s="27">
        <v>0</v>
      </c>
      <c r="L60" s="27">
        <v>0</v>
      </c>
      <c r="M60" s="28">
        <f t="shared" si="34"/>
        <v>0</v>
      </c>
      <c r="N60" s="27">
        <v>0</v>
      </c>
      <c r="P60" s="27">
        <v>0</v>
      </c>
      <c r="Q60" s="28">
        <v>0</v>
      </c>
      <c r="R60" s="27">
        <v>0</v>
      </c>
      <c r="T60" s="27">
        <v>0</v>
      </c>
      <c r="U60" s="28">
        <f t="shared" si="35"/>
        <v>0</v>
      </c>
      <c r="V60" s="27">
        <v>0</v>
      </c>
    </row>
    <row r="61" spans="1:22">
      <c r="A61" s="36"/>
      <c r="B61" s="37" t="s">
        <v>134</v>
      </c>
      <c r="C61" s="32" t="s">
        <v>115</v>
      </c>
      <c r="D61" s="29">
        <v>0</v>
      </c>
      <c r="E61" s="30">
        <f t="shared" si="32"/>
        <v>0</v>
      </c>
      <c r="F61" s="29">
        <v>0</v>
      </c>
      <c r="H61" s="29">
        <v>0</v>
      </c>
      <c r="I61" s="30">
        <f t="shared" si="33"/>
        <v>0</v>
      </c>
      <c r="J61" s="29">
        <v>0</v>
      </c>
      <c r="L61" s="29">
        <v>0</v>
      </c>
      <c r="M61" s="30">
        <f t="shared" si="34"/>
        <v>0</v>
      </c>
      <c r="N61" s="29">
        <v>0</v>
      </c>
      <c r="P61" s="29">
        <v>0</v>
      </c>
      <c r="Q61" s="30">
        <v>0</v>
      </c>
      <c r="R61" s="29">
        <v>0</v>
      </c>
      <c r="T61" s="29">
        <v>0</v>
      </c>
      <c r="U61" s="30">
        <f t="shared" si="35"/>
        <v>0</v>
      </c>
      <c r="V61" s="29">
        <v>0</v>
      </c>
    </row>
    <row r="62" spans="1:22">
      <c r="A62" s="36" t="s">
        <v>135</v>
      </c>
      <c r="B62" s="37" t="s">
        <v>136</v>
      </c>
      <c r="C62" s="54" t="s">
        <v>99</v>
      </c>
      <c r="D62" s="29">
        <f>E3*3</f>
        <v>84000</v>
      </c>
      <c r="E62" s="30">
        <f t="shared" si="32"/>
        <v>84000</v>
      </c>
      <c r="F62" s="29">
        <v>0</v>
      </c>
      <c r="H62" s="29">
        <f>I3*3</f>
        <v>87600</v>
      </c>
      <c r="I62" s="30">
        <f t="shared" si="33"/>
        <v>87600</v>
      </c>
      <c r="J62" s="29">
        <v>0</v>
      </c>
      <c r="L62" s="29">
        <f>M3*3</f>
        <v>90000</v>
      </c>
      <c r="M62" s="30">
        <f t="shared" si="34"/>
        <v>90000</v>
      </c>
      <c r="N62" s="29">
        <v>0</v>
      </c>
      <c r="P62" s="29">
        <v>97500</v>
      </c>
      <c r="Q62" s="30">
        <v>97500</v>
      </c>
      <c r="R62" s="29">
        <v>0</v>
      </c>
      <c r="T62" s="29">
        <f>U3*3</f>
        <v>102000</v>
      </c>
      <c r="U62" s="30">
        <f t="shared" si="35"/>
        <v>102000</v>
      </c>
      <c r="V62" s="29">
        <v>0</v>
      </c>
    </row>
    <row r="63" spans="1:22">
      <c r="A63" s="36"/>
      <c r="B63" s="37" t="s">
        <v>137</v>
      </c>
      <c r="C63" s="54" t="s">
        <v>119</v>
      </c>
      <c r="D63" s="29"/>
      <c r="E63" s="30">
        <f t="shared" si="32"/>
        <v>-84000</v>
      </c>
      <c r="F63" s="29">
        <f>E3*3</f>
        <v>84000</v>
      </c>
      <c r="H63" s="29"/>
      <c r="I63" s="30">
        <f t="shared" si="33"/>
        <v>-87600</v>
      </c>
      <c r="J63" s="29">
        <f>I3*3</f>
        <v>87600</v>
      </c>
      <c r="L63" s="29"/>
      <c r="M63" s="30">
        <f t="shared" si="34"/>
        <v>-90000</v>
      </c>
      <c r="N63" s="29">
        <f>M3*3</f>
        <v>90000</v>
      </c>
      <c r="P63" s="29"/>
      <c r="Q63" s="30">
        <v>-97500</v>
      </c>
      <c r="R63" s="29">
        <v>97500</v>
      </c>
      <c r="T63" s="29"/>
      <c r="U63" s="30">
        <f t="shared" si="35"/>
        <v>-102000</v>
      </c>
      <c r="V63" s="29">
        <f>U3*3</f>
        <v>102000</v>
      </c>
    </row>
    <row r="64" spans="1:22">
      <c r="A64" s="36"/>
      <c r="B64" s="37" t="s">
        <v>138</v>
      </c>
      <c r="C64" s="54" t="s">
        <v>101</v>
      </c>
      <c r="D64" s="29">
        <f>F3*3</f>
        <v>90000</v>
      </c>
      <c r="E64" s="30">
        <f t="shared" si="32"/>
        <v>90000</v>
      </c>
      <c r="F64" s="29">
        <v>0</v>
      </c>
      <c r="H64" s="29">
        <f>J3*3</f>
        <v>90000</v>
      </c>
      <c r="I64" s="30">
        <f t="shared" si="33"/>
        <v>90000</v>
      </c>
      <c r="J64" s="29">
        <v>0</v>
      </c>
      <c r="L64" s="29">
        <f>N3*3</f>
        <v>94500</v>
      </c>
      <c r="M64" s="30">
        <f t="shared" si="34"/>
        <v>94500</v>
      </c>
      <c r="N64" s="29">
        <v>0</v>
      </c>
      <c r="P64" s="29">
        <v>105000</v>
      </c>
      <c r="Q64" s="30">
        <v>105000</v>
      </c>
      <c r="R64" s="29">
        <v>0</v>
      </c>
      <c r="T64" s="29">
        <f>V3*3</f>
        <v>103500</v>
      </c>
      <c r="U64" s="30">
        <f t="shared" si="35"/>
        <v>103500</v>
      </c>
      <c r="V64" s="29">
        <v>0</v>
      </c>
    </row>
    <row r="65" spans="1:22">
      <c r="A65" s="36"/>
      <c r="B65" s="37" t="s">
        <v>139</v>
      </c>
      <c r="C65" s="54" t="s">
        <v>122</v>
      </c>
      <c r="D65" s="29"/>
      <c r="E65" s="30">
        <f t="shared" si="32"/>
        <v>-90000</v>
      </c>
      <c r="F65" s="29">
        <f>F3*3</f>
        <v>90000</v>
      </c>
      <c r="H65" s="29"/>
      <c r="I65" s="30">
        <f t="shared" si="33"/>
        <v>-90000</v>
      </c>
      <c r="J65" s="29">
        <f>J3*3</f>
        <v>90000</v>
      </c>
      <c r="L65" s="29"/>
      <c r="M65" s="30">
        <f t="shared" si="34"/>
        <v>-94500</v>
      </c>
      <c r="N65" s="29">
        <f>N3*3</f>
        <v>94500</v>
      </c>
      <c r="P65" s="29"/>
      <c r="Q65" s="30">
        <v>-105000</v>
      </c>
      <c r="R65" s="29">
        <v>105000</v>
      </c>
      <c r="T65" s="29"/>
      <c r="U65" s="30">
        <f t="shared" si="35"/>
        <v>-103500</v>
      </c>
      <c r="V65" s="29">
        <f>V3*3</f>
        <v>103500</v>
      </c>
    </row>
    <row r="66" spans="1:22">
      <c r="A66" s="36" t="s">
        <v>140</v>
      </c>
      <c r="B66" s="37" t="s">
        <v>141</v>
      </c>
      <c r="C66" s="54" t="s">
        <v>104</v>
      </c>
      <c r="D66" s="29">
        <v>0</v>
      </c>
      <c r="E66" s="30">
        <f t="shared" si="32"/>
        <v>0</v>
      </c>
      <c r="F66" s="29">
        <v>0</v>
      </c>
      <c r="H66" s="29">
        <v>0</v>
      </c>
      <c r="I66" s="30">
        <f t="shared" si="33"/>
        <v>0</v>
      </c>
      <c r="J66" s="29">
        <v>0</v>
      </c>
      <c r="L66" s="29">
        <v>0</v>
      </c>
      <c r="M66" s="30">
        <f t="shared" si="34"/>
        <v>0</v>
      </c>
      <c r="N66" s="29">
        <v>0</v>
      </c>
      <c r="P66" s="29">
        <v>0</v>
      </c>
      <c r="Q66" s="30">
        <v>0</v>
      </c>
      <c r="R66" s="29">
        <v>0</v>
      </c>
      <c r="T66" s="29">
        <v>0</v>
      </c>
      <c r="U66" s="30">
        <f t="shared" si="35"/>
        <v>0</v>
      </c>
      <c r="V66" s="29">
        <v>0</v>
      </c>
    </row>
    <row r="67" spans="1:22">
      <c r="A67" s="36"/>
      <c r="B67" s="37" t="s">
        <v>142</v>
      </c>
      <c r="C67" s="54" t="s">
        <v>126</v>
      </c>
      <c r="D67" s="29">
        <v>0</v>
      </c>
      <c r="E67" s="30">
        <f t="shared" si="32"/>
        <v>0</v>
      </c>
      <c r="F67" s="29">
        <v>0</v>
      </c>
      <c r="H67" s="29">
        <v>0</v>
      </c>
      <c r="I67" s="30">
        <f t="shared" si="33"/>
        <v>0</v>
      </c>
      <c r="J67" s="29">
        <v>0</v>
      </c>
      <c r="L67" s="29">
        <v>0</v>
      </c>
      <c r="M67" s="30">
        <f t="shared" si="34"/>
        <v>0</v>
      </c>
      <c r="N67" s="29">
        <v>0</v>
      </c>
      <c r="P67" s="29">
        <v>0</v>
      </c>
      <c r="Q67" s="30">
        <v>0</v>
      </c>
      <c r="R67" s="29">
        <v>0</v>
      </c>
      <c r="T67" s="29">
        <v>0</v>
      </c>
      <c r="U67" s="30">
        <f t="shared" si="35"/>
        <v>0</v>
      </c>
      <c r="V67" s="29">
        <v>0</v>
      </c>
    </row>
    <row r="68" spans="1:22" hidden="1">
      <c r="A68" s="39" t="s">
        <v>143</v>
      </c>
      <c r="B68" s="40"/>
      <c r="C68" s="20" t="s">
        <v>144</v>
      </c>
      <c r="D68" s="21">
        <f>SUM(D69:D77)</f>
        <v>0</v>
      </c>
      <c r="E68" s="22">
        <f>SUM(E69:E77)</f>
        <v>0</v>
      </c>
      <c r="F68" s="21">
        <f>SUM(F69:F77)</f>
        <v>0</v>
      </c>
      <c r="H68" s="21">
        <f>SUM(H69:H77)</f>
        <v>0</v>
      </c>
      <c r="I68" s="22">
        <f>SUM(I69:I77)</f>
        <v>0</v>
      </c>
      <c r="J68" s="21">
        <f>SUM(J69:J77)</f>
        <v>0</v>
      </c>
      <c r="L68" s="21">
        <f>SUM(L69:L77)</f>
        <v>0</v>
      </c>
      <c r="M68" s="22">
        <f>SUM(M69:M77)</f>
        <v>0</v>
      </c>
      <c r="N68" s="21">
        <f>SUM(N69:N77)</f>
        <v>0</v>
      </c>
      <c r="P68" s="21">
        <v>0</v>
      </c>
      <c r="Q68" s="22">
        <v>0</v>
      </c>
      <c r="R68" s="21">
        <v>0</v>
      </c>
      <c r="T68" s="21">
        <f>SUM(T69:T77)</f>
        <v>0</v>
      </c>
      <c r="U68" s="22">
        <f>SUM(U69:U77)</f>
        <v>0</v>
      </c>
      <c r="V68" s="21">
        <f>SUM(V69:V77)</f>
        <v>0</v>
      </c>
    </row>
    <row r="69" spans="1:22" hidden="1">
      <c r="A69" s="36" t="s">
        <v>145</v>
      </c>
      <c r="B69" s="37" t="s">
        <v>146</v>
      </c>
      <c r="C69" s="32" t="s">
        <v>93</v>
      </c>
      <c r="D69" s="29">
        <v>0</v>
      </c>
      <c r="E69" s="30">
        <f t="shared" ref="E69:E77" si="36">-F69+D69</f>
        <v>0</v>
      </c>
      <c r="F69" s="29">
        <v>0</v>
      </c>
      <c r="H69" s="29">
        <v>0</v>
      </c>
      <c r="I69" s="30">
        <f t="shared" ref="I69:I77" si="37">-J69+H69</f>
        <v>0</v>
      </c>
      <c r="J69" s="29">
        <v>0</v>
      </c>
      <c r="L69" s="29">
        <v>0</v>
      </c>
      <c r="M69" s="30">
        <f t="shared" ref="M69:M77" si="38">-N69+L69</f>
        <v>0</v>
      </c>
      <c r="N69" s="29">
        <v>0</v>
      </c>
      <c r="P69" s="29">
        <v>0</v>
      </c>
      <c r="Q69" s="30">
        <v>0</v>
      </c>
      <c r="R69" s="29">
        <v>0</v>
      </c>
      <c r="T69" s="29">
        <v>0</v>
      </c>
      <c r="U69" s="30">
        <f t="shared" ref="U69:U77" si="39">-V69+T69</f>
        <v>0</v>
      </c>
      <c r="V69" s="29">
        <v>0</v>
      </c>
    </row>
    <row r="70" spans="1:22" hidden="1">
      <c r="A70" s="36"/>
      <c r="B70" s="37"/>
      <c r="C70" s="32" t="s">
        <v>147</v>
      </c>
      <c r="D70" s="29">
        <v>0</v>
      </c>
      <c r="E70" s="30">
        <f t="shared" si="36"/>
        <v>0</v>
      </c>
      <c r="F70" s="29">
        <v>0</v>
      </c>
      <c r="H70" s="29">
        <v>0</v>
      </c>
      <c r="I70" s="30">
        <f t="shared" si="37"/>
        <v>0</v>
      </c>
      <c r="J70" s="29">
        <v>0</v>
      </c>
      <c r="L70" s="29">
        <v>0</v>
      </c>
      <c r="M70" s="30">
        <f t="shared" si="38"/>
        <v>0</v>
      </c>
      <c r="N70" s="29">
        <v>0</v>
      </c>
      <c r="P70" s="29">
        <v>0</v>
      </c>
      <c r="Q70" s="30">
        <v>0</v>
      </c>
      <c r="R70" s="29">
        <v>0</v>
      </c>
      <c r="T70" s="29">
        <v>0</v>
      </c>
      <c r="U70" s="30">
        <f t="shared" si="39"/>
        <v>0</v>
      </c>
      <c r="V70" s="29">
        <v>0</v>
      </c>
    </row>
    <row r="71" spans="1:22" hidden="1">
      <c r="A71" s="36" t="s">
        <v>148</v>
      </c>
      <c r="B71" s="37" t="s">
        <v>149</v>
      </c>
      <c r="C71" s="32" t="s">
        <v>96</v>
      </c>
      <c r="D71" s="29">
        <v>0</v>
      </c>
      <c r="E71" s="30">
        <f t="shared" si="36"/>
        <v>0</v>
      </c>
      <c r="F71" s="29">
        <v>0</v>
      </c>
      <c r="H71" s="29">
        <v>0</v>
      </c>
      <c r="I71" s="30">
        <f t="shared" si="37"/>
        <v>0</v>
      </c>
      <c r="J71" s="29">
        <v>0</v>
      </c>
      <c r="L71" s="29">
        <v>0</v>
      </c>
      <c r="M71" s="30">
        <f t="shared" si="38"/>
        <v>0</v>
      </c>
      <c r="N71" s="29">
        <v>0</v>
      </c>
      <c r="P71" s="29">
        <v>0</v>
      </c>
      <c r="Q71" s="30">
        <v>0</v>
      </c>
      <c r="R71" s="29">
        <v>0</v>
      </c>
      <c r="T71" s="29">
        <v>0</v>
      </c>
      <c r="U71" s="30">
        <f t="shared" si="39"/>
        <v>0</v>
      </c>
      <c r="V71" s="29">
        <v>0</v>
      </c>
    </row>
    <row r="72" spans="1:22" hidden="1">
      <c r="A72" s="36" t="s">
        <v>150</v>
      </c>
      <c r="B72" s="37" t="s">
        <v>151</v>
      </c>
      <c r="C72" s="32" t="s">
        <v>99</v>
      </c>
      <c r="D72" s="29">
        <v>0</v>
      </c>
      <c r="E72" s="30">
        <f t="shared" si="36"/>
        <v>0</v>
      </c>
      <c r="F72" s="29">
        <v>0</v>
      </c>
      <c r="H72" s="29">
        <v>0</v>
      </c>
      <c r="I72" s="30">
        <f t="shared" si="37"/>
        <v>0</v>
      </c>
      <c r="J72" s="29">
        <v>0</v>
      </c>
      <c r="L72" s="29">
        <v>0</v>
      </c>
      <c r="M72" s="30">
        <f t="shared" si="38"/>
        <v>0</v>
      </c>
      <c r="N72" s="29">
        <v>0</v>
      </c>
      <c r="P72" s="29">
        <v>0</v>
      </c>
      <c r="Q72" s="30">
        <v>0</v>
      </c>
      <c r="R72" s="29">
        <v>0</v>
      </c>
      <c r="T72" s="29">
        <v>0</v>
      </c>
      <c r="U72" s="30">
        <f t="shared" si="39"/>
        <v>0</v>
      </c>
      <c r="V72" s="29">
        <v>0</v>
      </c>
    </row>
    <row r="73" spans="1:22" hidden="1">
      <c r="A73" s="36"/>
      <c r="B73" s="37"/>
      <c r="C73" s="32" t="s">
        <v>119</v>
      </c>
      <c r="D73" s="29">
        <v>0</v>
      </c>
      <c r="E73" s="30">
        <f t="shared" si="36"/>
        <v>0</v>
      </c>
      <c r="F73" s="29">
        <v>0</v>
      </c>
      <c r="H73" s="29">
        <v>0</v>
      </c>
      <c r="I73" s="30">
        <f t="shared" si="37"/>
        <v>0</v>
      </c>
      <c r="J73" s="29">
        <v>0</v>
      </c>
      <c r="L73" s="29">
        <v>0</v>
      </c>
      <c r="M73" s="30">
        <f t="shared" si="38"/>
        <v>0</v>
      </c>
      <c r="N73" s="29">
        <v>0</v>
      </c>
      <c r="P73" s="29">
        <v>0</v>
      </c>
      <c r="Q73" s="30">
        <v>0</v>
      </c>
      <c r="R73" s="29">
        <v>0</v>
      </c>
      <c r="T73" s="29">
        <v>0</v>
      </c>
      <c r="U73" s="30">
        <f t="shared" si="39"/>
        <v>0</v>
      </c>
      <c r="V73" s="29">
        <v>0</v>
      </c>
    </row>
    <row r="74" spans="1:22" hidden="1">
      <c r="A74" s="36"/>
      <c r="B74" s="37"/>
      <c r="C74" s="32" t="s">
        <v>101</v>
      </c>
      <c r="D74" s="29">
        <v>0</v>
      </c>
      <c r="E74" s="30">
        <f t="shared" si="36"/>
        <v>0</v>
      </c>
      <c r="F74" s="29">
        <v>0</v>
      </c>
      <c r="H74" s="29">
        <v>0</v>
      </c>
      <c r="I74" s="30">
        <f t="shared" si="37"/>
        <v>0</v>
      </c>
      <c r="J74" s="29">
        <v>0</v>
      </c>
      <c r="L74" s="29">
        <v>0</v>
      </c>
      <c r="M74" s="30">
        <f t="shared" si="38"/>
        <v>0</v>
      </c>
      <c r="N74" s="29">
        <v>0</v>
      </c>
      <c r="P74" s="29">
        <v>0</v>
      </c>
      <c r="Q74" s="30">
        <v>0</v>
      </c>
      <c r="R74" s="29">
        <v>0</v>
      </c>
      <c r="T74" s="29">
        <v>0</v>
      </c>
      <c r="U74" s="30">
        <f t="shared" si="39"/>
        <v>0</v>
      </c>
      <c r="V74" s="29">
        <v>0</v>
      </c>
    </row>
    <row r="75" spans="1:22" hidden="1">
      <c r="A75" s="36"/>
      <c r="B75" s="37"/>
      <c r="C75" s="32" t="s">
        <v>122</v>
      </c>
      <c r="D75" s="29">
        <v>0</v>
      </c>
      <c r="E75" s="30">
        <f t="shared" si="36"/>
        <v>0</v>
      </c>
      <c r="F75" s="29">
        <v>0</v>
      </c>
      <c r="H75" s="29">
        <v>0</v>
      </c>
      <c r="I75" s="30">
        <f t="shared" si="37"/>
        <v>0</v>
      </c>
      <c r="J75" s="29">
        <v>0</v>
      </c>
      <c r="L75" s="29">
        <v>0</v>
      </c>
      <c r="M75" s="30">
        <f t="shared" si="38"/>
        <v>0</v>
      </c>
      <c r="N75" s="29">
        <v>0</v>
      </c>
      <c r="P75" s="29">
        <v>0</v>
      </c>
      <c r="Q75" s="30">
        <v>0</v>
      </c>
      <c r="R75" s="29">
        <v>0</v>
      </c>
      <c r="T75" s="29">
        <v>0</v>
      </c>
      <c r="U75" s="30">
        <f t="shared" si="39"/>
        <v>0</v>
      </c>
      <c r="V75" s="29">
        <v>0</v>
      </c>
    </row>
    <row r="76" spans="1:22" hidden="1">
      <c r="A76" s="36" t="s">
        <v>152</v>
      </c>
      <c r="B76" s="37" t="s">
        <v>153</v>
      </c>
      <c r="C76" s="32" t="s">
        <v>104</v>
      </c>
      <c r="D76" s="29">
        <v>0</v>
      </c>
      <c r="E76" s="30">
        <f t="shared" si="36"/>
        <v>0</v>
      </c>
      <c r="F76" s="29">
        <v>0</v>
      </c>
      <c r="H76" s="29">
        <v>0</v>
      </c>
      <c r="I76" s="30">
        <f t="shared" si="37"/>
        <v>0</v>
      </c>
      <c r="J76" s="29">
        <v>0</v>
      </c>
      <c r="L76" s="29">
        <v>0</v>
      </c>
      <c r="M76" s="30">
        <f t="shared" si="38"/>
        <v>0</v>
      </c>
      <c r="N76" s="29">
        <v>0</v>
      </c>
      <c r="P76" s="29">
        <v>0</v>
      </c>
      <c r="Q76" s="30">
        <v>0</v>
      </c>
      <c r="R76" s="29">
        <v>0</v>
      </c>
      <c r="T76" s="29">
        <v>0</v>
      </c>
      <c r="U76" s="30">
        <f t="shared" si="39"/>
        <v>0</v>
      </c>
      <c r="V76" s="29">
        <v>0</v>
      </c>
    </row>
    <row r="77" spans="1:22" hidden="1">
      <c r="A77" s="36" t="s">
        <v>152</v>
      </c>
      <c r="B77" s="37"/>
      <c r="C77" s="32" t="s">
        <v>126</v>
      </c>
      <c r="D77" s="29">
        <v>0</v>
      </c>
      <c r="E77" s="30">
        <f t="shared" si="36"/>
        <v>0</v>
      </c>
      <c r="F77" s="29">
        <v>0</v>
      </c>
      <c r="H77" s="29">
        <v>0</v>
      </c>
      <c r="I77" s="30">
        <f t="shared" si="37"/>
        <v>0</v>
      </c>
      <c r="J77" s="29">
        <v>0</v>
      </c>
      <c r="L77" s="29">
        <v>0</v>
      </c>
      <c r="M77" s="30">
        <f t="shared" si="38"/>
        <v>0</v>
      </c>
      <c r="N77" s="29">
        <v>0</v>
      </c>
      <c r="P77" s="29">
        <v>0</v>
      </c>
      <c r="Q77" s="30">
        <v>0</v>
      </c>
      <c r="R77" s="29">
        <v>0</v>
      </c>
      <c r="T77" s="29">
        <v>0</v>
      </c>
      <c r="U77" s="30">
        <f t="shared" si="39"/>
        <v>0</v>
      </c>
      <c r="V77" s="29">
        <v>0</v>
      </c>
    </row>
    <row r="78" spans="1:22">
      <c r="A78" s="39" t="s">
        <v>154</v>
      </c>
      <c r="B78" s="40"/>
      <c r="C78" s="20" t="s">
        <v>155</v>
      </c>
      <c r="D78" s="21">
        <f>SUM(D79:D88)</f>
        <v>18500</v>
      </c>
      <c r="E78" s="22">
        <f>SUM(E79:E88)</f>
        <v>-37346.019999999997</v>
      </c>
      <c r="F78" s="21">
        <f>SUM(F79:F88)</f>
        <v>55846.02</v>
      </c>
      <c r="H78" s="21">
        <f>SUM(H79:H88)</f>
        <v>18560</v>
      </c>
      <c r="I78" s="22">
        <f>SUM(I79:I88)</f>
        <v>-37346.019999999997</v>
      </c>
      <c r="J78" s="21">
        <f>SUM(J79:J88)</f>
        <v>55906.02</v>
      </c>
      <c r="L78" s="21">
        <f>SUM(L79:L88)</f>
        <v>19455</v>
      </c>
      <c r="M78" s="22">
        <f>SUM(M79:M88)</f>
        <v>-37346.019999999997</v>
      </c>
      <c r="N78" s="21">
        <f>SUM(N79:N88)</f>
        <v>56801.02</v>
      </c>
      <c r="P78" s="21">
        <v>8575</v>
      </c>
      <c r="Q78" s="22">
        <v>-32567.38</v>
      </c>
      <c r="R78" s="21">
        <v>41142.379999999997</v>
      </c>
      <c r="T78" s="21">
        <f>SUM(T79:T88)</f>
        <v>32401</v>
      </c>
      <c r="U78" s="22">
        <f>SUM(U79:U88)</f>
        <v>-42792.380000000005</v>
      </c>
      <c r="V78" s="21">
        <f>SUM(V79:V88)</f>
        <v>75193.38</v>
      </c>
    </row>
    <row r="79" spans="1:22">
      <c r="A79" s="36" t="s">
        <v>156</v>
      </c>
      <c r="B79" s="37" t="s">
        <v>157</v>
      </c>
      <c r="C79" s="32" t="s">
        <v>93</v>
      </c>
      <c r="D79" s="27">
        <v>0</v>
      </c>
      <c r="E79" s="30">
        <f t="shared" ref="E79:E88" si="40">-F79+D79</f>
        <v>0</v>
      </c>
      <c r="F79" s="29">
        <v>0</v>
      </c>
      <c r="H79" s="27">
        <v>0</v>
      </c>
      <c r="I79" s="30">
        <f t="shared" ref="I79:I88" si="41">-J79+H79</f>
        <v>0</v>
      </c>
      <c r="J79" s="29">
        <v>0</v>
      </c>
      <c r="L79" s="27">
        <v>0</v>
      </c>
      <c r="M79" s="30">
        <f t="shared" ref="M79:M88" si="42">-N79+L79</f>
        <v>0</v>
      </c>
      <c r="N79" s="29">
        <v>0</v>
      </c>
      <c r="P79" s="27">
        <v>3450</v>
      </c>
      <c r="Q79" s="30">
        <v>3450</v>
      </c>
      <c r="R79" s="29">
        <v>0</v>
      </c>
      <c r="T79" s="27">
        <f>0.5*T3</f>
        <v>17051</v>
      </c>
      <c r="U79" s="30">
        <f t="shared" ref="U79:U88" si="43">-V79+T79</f>
        <v>17051</v>
      </c>
      <c r="V79" s="29">
        <v>0</v>
      </c>
    </row>
    <row r="80" spans="1:22">
      <c r="A80" s="36"/>
      <c r="B80" s="37" t="s">
        <v>158</v>
      </c>
      <c r="C80" s="32" t="s">
        <v>111</v>
      </c>
      <c r="D80" s="29">
        <v>0</v>
      </c>
      <c r="E80" s="30">
        <f t="shared" si="40"/>
        <v>-37346.019999999997</v>
      </c>
      <c r="F80" s="29">
        <v>37346.019999999997</v>
      </c>
      <c r="H80" s="29">
        <v>0</v>
      </c>
      <c r="I80" s="30">
        <f t="shared" si="41"/>
        <v>-37346.019999999997</v>
      </c>
      <c r="J80" s="29">
        <v>37346.019999999997</v>
      </c>
      <c r="L80" s="29">
        <v>0</v>
      </c>
      <c r="M80" s="30">
        <f t="shared" si="42"/>
        <v>-37346.019999999997</v>
      </c>
      <c r="N80" s="29">
        <v>37346.019999999997</v>
      </c>
      <c r="P80" s="29">
        <v>0</v>
      </c>
      <c r="Q80" s="30">
        <v>-36017.379999999997</v>
      </c>
      <c r="R80" s="29">
        <v>36017.379999999997</v>
      </c>
      <c r="T80" s="29">
        <v>0</v>
      </c>
      <c r="U80" s="30">
        <f t="shared" si="43"/>
        <v>-59843.380000000005</v>
      </c>
      <c r="V80" s="29">
        <f>T79+T81+T83+T85+27442.38</f>
        <v>59843.380000000005</v>
      </c>
    </row>
    <row r="81" spans="1:22">
      <c r="A81" s="36" t="s">
        <v>159</v>
      </c>
      <c r="B81" s="37" t="s">
        <v>160</v>
      </c>
      <c r="C81" s="32" t="s">
        <v>96</v>
      </c>
      <c r="D81" s="27">
        <v>0</v>
      </c>
      <c r="E81" s="30">
        <f t="shared" si="40"/>
        <v>0</v>
      </c>
      <c r="F81" s="29">
        <v>0</v>
      </c>
      <c r="H81" s="27">
        <v>0</v>
      </c>
      <c r="I81" s="30">
        <f t="shared" si="41"/>
        <v>0</v>
      </c>
      <c r="J81" s="29">
        <v>0</v>
      </c>
      <c r="L81" s="27">
        <v>0</v>
      </c>
      <c r="M81" s="30">
        <f t="shared" si="42"/>
        <v>0</v>
      </c>
      <c r="N81" s="29">
        <v>0</v>
      </c>
      <c r="P81" s="27">
        <v>0</v>
      </c>
      <c r="Q81" s="30">
        <v>0</v>
      </c>
      <c r="R81" s="29">
        <v>0</v>
      </c>
      <c r="T81" s="27">
        <v>0</v>
      </c>
      <c r="U81" s="30">
        <f t="shared" si="43"/>
        <v>0</v>
      </c>
      <c r="V81" s="29">
        <v>0</v>
      </c>
    </row>
    <row r="82" spans="1:22">
      <c r="A82" s="52"/>
      <c r="B82" s="53" t="s">
        <v>161</v>
      </c>
      <c r="C82" s="32" t="s">
        <v>115</v>
      </c>
      <c r="D82" s="55">
        <v>0</v>
      </c>
      <c r="E82" s="30">
        <f t="shared" si="40"/>
        <v>0</v>
      </c>
      <c r="F82" s="29">
        <v>0</v>
      </c>
      <c r="H82" s="55">
        <v>0</v>
      </c>
      <c r="I82" s="30">
        <f t="shared" si="41"/>
        <v>0</v>
      </c>
      <c r="J82" s="29">
        <v>0</v>
      </c>
      <c r="L82" s="55">
        <v>0</v>
      </c>
      <c r="M82" s="30">
        <f t="shared" si="42"/>
        <v>0</v>
      </c>
      <c r="N82" s="29">
        <v>0</v>
      </c>
      <c r="P82" s="55">
        <v>0</v>
      </c>
      <c r="Q82" s="30">
        <v>0</v>
      </c>
      <c r="R82" s="29">
        <v>0</v>
      </c>
      <c r="T82" s="55">
        <v>0</v>
      </c>
      <c r="U82" s="30">
        <f t="shared" si="43"/>
        <v>0</v>
      </c>
      <c r="V82" s="29">
        <v>0</v>
      </c>
    </row>
    <row r="83" spans="1:22">
      <c r="A83" s="52" t="s">
        <v>162</v>
      </c>
      <c r="B83" s="53" t="s">
        <v>163</v>
      </c>
      <c r="C83" s="54" t="s">
        <v>99</v>
      </c>
      <c r="D83" s="38">
        <f>E3*0.05</f>
        <v>1400</v>
      </c>
      <c r="E83" s="30">
        <f t="shared" si="40"/>
        <v>1400</v>
      </c>
      <c r="F83" s="29">
        <v>0</v>
      </c>
      <c r="H83" s="38">
        <f>I3*0.05</f>
        <v>1460</v>
      </c>
      <c r="I83" s="30">
        <f t="shared" si="41"/>
        <v>1460</v>
      </c>
      <c r="J83" s="29">
        <v>0</v>
      </c>
      <c r="L83" s="38">
        <f>M3*0.05</f>
        <v>1500</v>
      </c>
      <c r="M83" s="30">
        <f t="shared" si="42"/>
        <v>1500</v>
      </c>
      <c r="N83" s="29">
        <v>0</v>
      </c>
      <c r="P83" s="38">
        <v>1625</v>
      </c>
      <c r="Q83" s="30">
        <v>1625</v>
      </c>
      <c r="R83" s="29">
        <v>0</v>
      </c>
      <c r="T83" s="38">
        <f>U3*0.35</f>
        <v>11900</v>
      </c>
      <c r="U83" s="30">
        <f t="shared" si="43"/>
        <v>11900</v>
      </c>
      <c r="V83" s="29">
        <v>0</v>
      </c>
    </row>
    <row r="84" spans="1:22">
      <c r="A84" s="52"/>
      <c r="B84" s="53" t="s">
        <v>164</v>
      </c>
      <c r="C84" s="54" t="s">
        <v>119</v>
      </c>
      <c r="D84" s="38">
        <v>0</v>
      </c>
      <c r="E84" s="30">
        <f t="shared" si="40"/>
        <v>-1400</v>
      </c>
      <c r="F84" s="29">
        <f>E3*0.05</f>
        <v>1400</v>
      </c>
      <c r="H84" s="38">
        <v>0</v>
      </c>
      <c r="I84" s="30">
        <f t="shared" si="41"/>
        <v>-1460</v>
      </c>
      <c r="J84" s="29">
        <f>I3*0.05</f>
        <v>1460</v>
      </c>
      <c r="L84" s="38">
        <v>0</v>
      </c>
      <c r="M84" s="30">
        <f t="shared" si="42"/>
        <v>-1500</v>
      </c>
      <c r="N84" s="29">
        <f>M3*0.05</f>
        <v>1500</v>
      </c>
      <c r="P84" s="38">
        <v>0</v>
      </c>
      <c r="Q84" s="30">
        <v>-1625</v>
      </c>
      <c r="R84" s="29">
        <v>1625</v>
      </c>
      <c r="T84" s="38">
        <v>0</v>
      </c>
      <c r="U84" s="30">
        <f t="shared" si="43"/>
        <v>-11900</v>
      </c>
      <c r="V84" s="29">
        <f>U3*0.35</f>
        <v>11900</v>
      </c>
    </row>
    <row r="85" spans="1:22">
      <c r="A85" s="52"/>
      <c r="B85" s="53" t="s">
        <v>165</v>
      </c>
      <c r="C85" s="54" t="s">
        <v>101</v>
      </c>
      <c r="D85" s="38">
        <f>F3*0.57</f>
        <v>17100</v>
      </c>
      <c r="E85" s="30">
        <f t="shared" si="40"/>
        <v>17100</v>
      </c>
      <c r="F85" s="29">
        <v>0</v>
      </c>
      <c r="H85" s="38">
        <f>J3*0.57</f>
        <v>17100</v>
      </c>
      <c r="I85" s="30">
        <f t="shared" si="41"/>
        <v>17100</v>
      </c>
      <c r="J85" s="29">
        <v>0</v>
      </c>
      <c r="L85" s="38">
        <f>N3*0.57</f>
        <v>17955</v>
      </c>
      <c r="M85" s="30">
        <f t="shared" si="42"/>
        <v>17955</v>
      </c>
      <c r="N85" s="29">
        <v>0</v>
      </c>
      <c r="P85" s="38">
        <v>3500</v>
      </c>
      <c r="Q85" s="30">
        <v>3500</v>
      </c>
      <c r="R85" s="29">
        <v>0</v>
      </c>
      <c r="T85" s="38">
        <f>V3*0.1</f>
        <v>3450</v>
      </c>
      <c r="U85" s="30">
        <f t="shared" si="43"/>
        <v>3450</v>
      </c>
      <c r="V85" s="29">
        <v>0</v>
      </c>
    </row>
    <row r="86" spans="1:22">
      <c r="A86" s="52"/>
      <c r="B86" s="53" t="s">
        <v>166</v>
      </c>
      <c r="C86" s="54" t="s">
        <v>122</v>
      </c>
      <c r="D86" s="38">
        <v>0</v>
      </c>
      <c r="E86" s="30">
        <f t="shared" si="40"/>
        <v>-17100</v>
      </c>
      <c r="F86" s="29">
        <f>F3*0.57</f>
        <v>17100</v>
      </c>
      <c r="H86" s="38">
        <v>0</v>
      </c>
      <c r="I86" s="30">
        <f t="shared" si="41"/>
        <v>-17100</v>
      </c>
      <c r="J86" s="29">
        <f>J3*0.57</f>
        <v>17100</v>
      </c>
      <c r="L86" s="38">
        <v>0</v>
      </c>
      <c r="M86" s="30">
        <f t="shared" si="42"/>
        <v>-17955</v>
      </c>
      <c r="N86" s="29">
        <f>N3*0.57</f>
        <v>17955</v>
      </c>
      <c r="P86" s="38">
        <v>0</v>
      </c>
      <c r="Q86" s="30">
        <v>-3500</v>
      </c>
      <c r="R86" s="29">
        <v>3500</v>
      </c>
      <c r="T86" s="38">
        <v>0</v>
      </c>
      <c r="U86" s="30">
        <f t="shared" si="43"/>
        <v>-3450</v>
      </c>
      <c r="V86" s="29">
        <f>V3*0.1</f>
        <v>3450</v>
      </c>
    </row>
    <row r="87" spans="1:22">
      <c r="A87" s="52" t="s">
        <v>167</v>
      </c>
      <c r="B87" s="53" t="s">
        <v>168</v>
      </c>
      <c r="C87" s="54" t="s">
        <v>104</v>
      </c>
      <c r="D87" s="38">
        <v>0</v>
      </c>
      <c r="E87" s="30">
        <f t="shared" si="40"/>
        <v>0</v>
      </c>
      <c r="F87" s="29">
        <v>0</v>
      </c>
      <c r="H87" s="38">
        <v>0</v>
      </c>
      <c r="I87" s="30">
        <f t="shared" si="41"/>
        <v>0</v>
      </c>
      <c r="J87" s="29">
        <v>0</v>
      </c>
      <c r="L87" s="38">
        <v>0</v>
      </c>
      <c r="M87" s="30">
        <f t="shared" si="42"/>
        <v>0</v>
      </c>
      <c r="N87" s="29">
        <v>0</v>
      </c>
      <c r="P87" s="38">
        <v>0</v>
      </c>
      <c r="Q87" s="30">
        <v>0</v>
      </c>
      <c r="R87" s="29">
        <v>0</v>
      </c>
      <c r="T87" s="38">
        <v>0</v>
      </c>
      <c r="U87" s="30">
        <f t="shared" si="43"/>
        <v>0</v>
      </c>
      <c r="V87" s="29">
        <v>0</v>
      </c>
    </row>
    <row r="88" spans="1:22">
      <c r="A88" s="52"/>
      <c r="B88" s="53"/>
      <c r="C88" s="54" t="s">
        <v>126</v>
      </c>
      <c r="D88" s="38">
        <v>0</v>
      </c>
      <c r="E88" s="30">
        <f t="shared" si="40"/>
        <v>0</v>
      </c>
      <c r="F88" s="38">
        <v>0</v>
      </c>
      <c r="H88" s="38">
        <v>0</v>
      </c>
      <c r="I88" s="30">
        <f t="shared" si="41"/>
        <v>0</v>
      </c>
      <c r="J88" s="38">
        <v>0</v>
      </c>
      <c r="L88" s="38">
        <v>0</v>
      </c>
      <c r="M88" s="30">
        <f t="shared" si="42"/>
        <v>0</v>
      </c>
      <c r="N88" s="38">
        <v>0</v>
      </c>
      <c r="P88" s="38">
        <v>0</v>
      </c>
      <c r="Q88" s="30">
        <v>0</v>
      </c>
      <c r="R88" s="38">
        <v>0</v>
      </c>
      <c r="T88" s="38">
        <v>0</v>
      </c>
      <c r="U88" s="30">
        <f t="shared" si="43"/>
        <v>0</v>
      </c>
      <c r="V88" s="38">
        <v>0</v>
      </c>
    </row>
    <row r="89" spans="1:22">
      <c r="A89" s="39" t="s">
        <v>169</v>
      </c>
      <c r="B89" s="40"/>
      <c r="C89" s="20" t="s">
        <v>170</v>
      </c>
      <c r="D89" s="21">
        <f>SUM(D90:D99)</f>
        <v>44106</v>
      </c>
      <c r="E89" s="22">
        <f>SUM(E90:E99)</f>
        <v>-1750</v>
      </c>
      <c r="F89" s="21">
        <f>SUM(F90:F99)</f>
        <v>45856</v>
      </c>
      <c r="H89" s="21">
        <f>SUM(H90:H99)</f>
        <v>45306</v>
      </c>
      <c r="I89" s="22">
        <f>SUM(I90:I99)</f>
        <v>-1750</v>
      </c>
      <c r="J89" s="21">
        <f>SUM(J90:J99)</f>
        <v>47056</v>
      </c>
      <c r="L89" s="21">
        <f>SUM(L90:L99)</f>
        <v>46856</v>
      </c>
      <c r="M89" s="22">
        <f>SUM(M90:M99)</f>
        <v>-1000</v>
      </c>
      <c r="N89" s="21">
        <f>SUM(N90:N99)</f>
        <v>47856</v>
      </c>
      <c r="P89" s="21">
        <v>102000</v>
      </c>
      <c r="Q89" s="22">
        <v>0</v>
      </c>
      <c r="R89" s="21">
        <v>102000</v>
      </c>
      <c r="T89" s="21">
        <f>SUM(T90:T99)</f>
        <v>104500</v>
      </c>
      <c r="U89" s="22">
        <f>SUM(U90:U99)</f>
        <v>-500</v>
      </c>
      <c r="V89" s="21">
        <f>SUM(V90:V99)</f>
        <v>105000</v>
      </c>
    </row>
    <row r="90" spans="1:22">
      <c r="A90" s="36" t="s">
        <v>171</v>
      </c>
      <c r="B90" s="37" t="s">
        <v>85</v>
      </c>
      <c r="C90" s="32" t="s">
        <v>93</v>
      </c>
      <c r="D90" s="27">
        <v>0</v>
      </c>
      <c r="E90" s="28">
        <f t="shared" ref="E90:E99" si="44">-F90+D90</f>
        <v>0</v>
      </c>
      <c r="F90" s="27">
        <f>D97</f>
        <v>0</v>
      </c>
      <c r="H90" s="27">
        <v>0</v>
      </c>
      <c r="I90" s="28">
        <f t="shared" ref="I90:I99" si="45">-J90+H90</f>
        <v>0</v>
      </c>
      <c r="J90" s="27">
        <f>H97</f>
        <v>0</v>
      </c>
      <c r="L90" s="27">
        <v>0</v>
      </c>
      <c r="M90" s="28">
        <f t="shared" ref="M90:M99" si="46">-N90+L90</f>
        <v>0</v>
      </c>
      <c r="N90" s="27">
        <f>L97</f>
        <v>0</v>
      </c>
      <c r="P90" s="27">
        <v>34500</v>
      </c>
      <c r="Q90" s="28">
        <v>34500</v>
      </c>
      <c r="R90" s="27">
        <v>0</v>
      </c>
      <c r="T90" s="27">
        <v>36000</v>
      </c>
      <c r="U90" s="28">
        <f t="shared" ref="U90:U99" si="47">-V90+T90</f>
        <v>36000</v>
      </c>
      <c r="V90" s="27">
        <f>T97</f>
        <v>0</v>
      </c>
    </row>
    <row r="91" spans="1:22">
      <c r="A91" s="36"/>
      <c r="B91" s="37" t="s">
        <v>172</v>
      </c>
      <c r="C91" s="32" t="s">
        <v>111</v>
      </c>
      <c r="D91" s="27">
        <v>0</v>
      </c>
      <c r="E91" s="28">
        <f t="shared" si="44"/>
        <v>0</v>
      </c>
      <c r="F91" s="27">
        <v>0</v>
      </c>
      <c r="H91" s="27">
        <v>0</v>
      </c>
      <c r="I91" s="28">
        <f t="shared" si="45"/>
        <v>0</v>
      </c>
      <c r="J91" s="27">
        <v>0</v>
      </c>
      <c r="L91" s="27">
        <v>0</v>
      </c>
      <c r="M91" s="28">
        <f t="shared" si="46"/>
        <v>0</v>
      </c>
      <c r="N91" s="27">
        <v>0</v>
      </c>
      <c r="P91" s="27">
        <v>0</v>
      </c>
      <c r="Q91" s="28">
        <v>-35000</v>
      </c>
      <c r="R91" s="27">
        <v>35000</v>
      </c>
      <c r="T91" s="27">
        <v>0</v>
      </c>
      <c r="U91" s="28">
        <f t="shared" si="47"/>
        <v>-35000</v>
      </c>
      <c r="V91" s="27">
        <v>35000</v>
      </c>
    </row>
    <row r="92" spans="1:22">
      <c r="A92" s="36" t="s">
        <v>173</v>
      </c>
      <c r="B92" s="37" t="s">
        <v>174</v>
      </c>
      <c r="C92" s="32" t="s">
        <v>96</v>
      </c>
      <c r="D92" s="27">
        <v>1106</v>
      </c>
      <c r="E92" s="28">
        <f t="shared" si="44"/>
        <v>1106</v>
      </c>
      <c r="F92" s="29">
        <v>0</v>
      </c>
      <c r="H92" s="27">
        <v>1106</v>
      </c>
      <c r="I92" s="28">
        <f t="shared" si="45"/>
        <v>1106</v>
      </c>
      <c r="J92" s="29">
        <v>0</v>
      </c>
      <c r="L92" s="27">
        <v>1106</v>
      </c>
      <c r="M92" s="28">
        <f t="shared" si="46"/>
        <v>1106</v>
      </c>
      <c r="N92" s="29">
        <v>0</v>
      </c>
      <c r="P92" s="27">
        <v>0</v>
      </c>
      <c r="Q92" s="28">
        <v>0</v>
      </c>
      <c r="R92" s="29">
        <v>0</v>
      </c>
      <c r="T92" s="27">
        <v>0</v>
      </c>
      <c r="U92" s="28">
        <f t="shared" si="47"/>
        <v>0</v>
      </c>
      <c r="V92" s="29">
        <v>0</v>
      </c>
    </row>
    <row r="93" spans="1:22">
      <c r="A93" s="36"/>
      <c r="B93" s="37" t="s">
        <v>175</v>
      </c>
      <c r="C93" s="32" t="s">
        <v>115</v>
      </c>
      <c r="D93" s="27">
        <v>0</v>
      </c>
      <c r="E93" s="28">
        <f t="shared" si="44"/>
        <v>-1106</v>
      </c>
      <c r="F93" s="29">
        <v>1106</v>
      </c>
      <c r="H93" s="27">
        <v>0</v>
      </c>
      <c r="I93" s="28">
        <f t="shared" si="45"/>
        <v>-1106</v>
      </c>
      <c r="J93" s="29">
        <v>1106</v>
      </c>
      <c r="L93" s="27">
        <v>0</v>
      </c>
      <c r="M93" s="28">
        <f t="shared" si="46"/>
        <v>-1106</v>
      </c>
      <c r="N93" s="29">
        <v>1106</v>
      </c>
      <c r="P93" s="27">
        <v>0</v>
      </c>
      <c r="Q93" s="28">
        <v>-34500</v>
      </c>
      <c r="R93" s="29">
        <v>34500</v>
      </c>
      <c r="T93" s="27">
        <v>0</v>
      </c>
      <c r="U93" s="28">
        <f t="shared" si="47"/>
        <v>-36000</v>
      </c>
      <c r="V93" s="29">
        <v>36000</v>
      </c>
    </row>
    <row r="94" spans="1:22">
      <c r="A94" s="36" t="s">
        <v>176</v>
      </c>
      <c r="B94" s="37" t="s">
        <v>177</v>
      </c>
      <c r="C94" s="54" t="s">
        <v>99</v>
      </c>
      <c r="D94" s="27">
        <f>E3*1</f>
        <v>28000</v>
      </c>
      <c r="E94" s="28">
        <f t="shared" si="44"/>
        <v>28000</v>
      </c>
      <c r="F94" s="29">
        <v>0</v>
      </c>
      <c r="H94" s="27">
        <f>I3*1</f>
        <v>29200</v>
      </c>
      <c r="I94" s="28">
        <f t="shared" si="45"/>
        <v>29200</v>
      </c>
      <c r="J94" s="29">
        <v>0</v>
      </c>
      <c r="L94" s="27">
        <f>M3*1</f>
        <v>30000</v>
      </c>
      <c r="M94" s="28">
        <f t="shared" si="46"/>
        <v>30000</v>
      </c>
      <c r="N94" s="29">
        <v>0</v>
      </c>
      <c r="P94" s="27">
        <v>32500</v>
      </c>
      <c r="Q94" s="28">
        <v>32500</v>
      </c>
      <c r="R94" s="29">
        <v>0</v>
      </c>
      <c r="T94" s="27">
        <f>U3*1</f>
        <v>34000</v>
      </c>
      <c r="U94" s="28">
        <f t="shared" si="47"/>
        <v>34000</v>
      </c>
      <c r="V94" s="29">
        <v>0</v>
      </c>
    </row>
    <row r="95" spans="1:22">
      <c r="A95" s="36"/>
      <c r="B95" s="37" t="s">
        <v>178</v>
      </c>
      <c r="C95" s="54" t="s">
        <v>119</v>
      </c>
      <c r="D95" s="27">
        <v>0</v>
      </c>
      <c r="E95" s="28">
        <f t="shared" si="44"/>
        <v>-28000</v>
      </c>
      <c r="F95" s="29">
        <f>E3*1</f>
        <v>28000</v>
      </c>
      <c r="H95" s="27">
        <v>0</v>
      </c>
      <c r="I95" s="28">
        <f t="shared" si="45"/>
        <v>-29200</v>
      </c>
      <c r="J95" s="29">
        <f>I3*1</f>
        <v>29200</v>
      </c>
      <c r="L95" s="27">
        <v>0</v>
      </c>
      <c r="M95" s="28">
        <f t="shared" si="46"/>
        <v>-30000</v>
      </c>
      <c r="N95" s="29">
        <f>M3*1</f>
        <v>30000</v>
      </c>
      <c r="P95" s="27">
        <v>0</v>
      </c>
      <c r="Q95" s="28">
        <v>-32500</v>
      </c>
      <c r="R95" s="29">
        <v>32500</v>
      </c>
      <c r="T95" s="27">
        <v>0</v>
      </c>
      <c r="U95" s="28">
        <f t="shared" si="47"/>
        <v>-34000</v>
      </c>
      <c r="V95" s="29">
        <f>U3*1</f>
        <v>34000</v>
      </c>
    </row>
    <row r="96" spans="1:22">
      <c r="A96" s="36"/>
      <c r="B96" s="37" t="s">
        <v>179</v>
      </c>
      <c r="C96" s="54" t="s">
        <v>101</v>
      </c>
      <c r="D96" s="27">
        <f>F3*0.5</f>
        <v>15000</v>
      </c>
      <c r="E96" s="28">
        <f t="shared" si="44"/>
        <v>15000</v>
      </c>
      <c r="F96" s="29">
        <v>0</v>
      </c>
      <c r="H96" s="27">
        <f>J3*0.5</f>
        <v>15000</v>
      </c>
      <c r="I96" s="28">
        <f t="shared" si="45"/>
        <v>15000</v>
      </c>
      <c r="J96" s="29">
        <v>0</v>
      </c>
      <c r="L96" s="27">
        <f>N3*0.5</f>
        <v>15750</v>
      </c>
      <c r="M96" s="28">
        <f t="shared" si="46"/>
        <v>15750</v>
      </c>
      <c r="N96" s="29">
        <v>0</v>
      </c>
      <c r="P96" s="27">
        <v>35000</v>
      </c>
      <c r="Q96" s="28">
        <v>35000</v>
      </c>
      <c r="R96" s="29">
        <v>0</v>
      </c>
      <c r="T96" s="27">
        <f>V3*1</f>
        <v>34500</v>
      </c>
      <c r="U96" s="28">
        <f t="shared" si="47"/>
        <v>34500</v>
      </c>
      <c r="V96" s="29">
        <v>0</v>
      </c>
    </row>
    <row r="97" spans="1:22">
      <c r="A97" s="52"/>
      <c r="B97" s="53" t="s">
        <v>180</v>
      </c>
      <c r="C97" s="54" t="s">
        <v>122</v>
      </c>
      <c r="D97" s="55">
        <v>0</v>
      </c>
      <c r="E97" s="28">
        <f t="shared" si="44"/>
        <v>-16750</v>
      </c>
      <c r="F97" s="29">
        <v>16750</v>
      </c>
      <c r="H97" s="55">
        <v>0</v>
      </c>
      <c r="I97" s="28">
        <f t="shared" si="45"/>
        <v>-16750</v>
      </c>
      <c r="J97" s="29">
        <v>16750</v>
      </c>
      <c r="L97" s="55">
        <v>0</v>
      </c>
      <c r="M97" s="28">
        <f t="shared" si="46"/>
        <v>-16750</v>
      </c>
      <c r="N97" s="29">
        <v>16750</v>
      </c>
      <c r="P97" s="55">
        <v>0</v>
      </c>
      <c r="Q97" s="28">
        <v>0</v>
      </c>
      <c r="R97" s="29">
        <v>0</v>
      </c>
      <c r="T97" s="55">
        <v>0</v>
      </c>
      <c r="U97" s="28">
        <f t="shared" si="47"/>
        <v>0</v>
      </c>
      <c r="V97" s="29">
        <v>0</v>
      </c>
    </row>
    <row r="98" spans="1:22">
      <c r="A98" s="52" t="s">
        <v>181</v>
      </c>
      <c r="B98" s="53" t="s">
        <v>182</v>
      </c>
      <c r="C98" s="54" t="s">
        <v>104</v>
      </c>
      <c r="D98" s="55">
        <v>0</v>
      </c>
      <c r="E98" s="28">
        <f t="shared" si="44"/>
        <v>0</v>
      </c>
      <c r="F98" s="29">
        <v>0</v>
      </c>
      <c r="H98" s="55">
        <v>0</v>
      </c>
      <c r="I98" s="28">
        <f t="shared" si="45"/>
        <v>0</v>
      </c>
      <c r="J98" s="29">
        <v>0</v>
      </c>
      <c r="L98" s="55">
        <v>0</v>
      </c>
      <c r="M98" s="28">
        <f t="shared" si="46"/>
        <v>0</v>
      </c>
      <c r="N98" s="29">
        <v>0</v>
      </c>
      <c r="P98" s="55">
        <v>0</v>
      </c>
      <c r="Q98" s="28">
        <v>0</v>
      </c>
      <c r="R98" s="29">
        <v>0</v>
      </c>
      <c r="T98" s="55">
        <v>0</v>
      </c>
      <c r="U98" s="28">
        <f t="shared" si="47"/>
        <v>0</v>
      </c>
      <c r="V98" s="29">
        <v>0</v>
      </c>
    </row>
    <row r="99" spans="1:22">
      <c r="A99" s="52"/>
      <c r="B99" s="53"/>
      <c r="C99" s="54" t="s">
        <v>126</v>
      </c>
      <c r="D99" s="38">
        <v>0</v>
      </c>
      <c r="E99" s="30">
        <f t="shared" si="44"/>
        <v>0</v>
      </c>
      <c r="F99" s="29">
        <v>0</v>
      </c>
      <c r="H99" s="38">
        <v>0</v>
      </c>
      <c r="I99" s="30">
        <f t="shared" si="45"/>
        <v>0</v>
      </c>
      <c r="J99" s="29">
        <v>0</v>
      </c>
      <c r="L99" s="38">
        <v>0</v>
      </c>
      <c r="M99" s="30">
        <f t="shared" si="46"/>
        <v>0</v>
      </c>
      <c r="N99" s="29">
        <v>0</v>
      </c>
      <c r="P99" s="38">
        <v>0</v>
      </c>
      <c r="Q99" s="30">
        <v>0</v>
      </c>
      <c r="R99" s="29">
        <v>0</v>
      </c>
      <c r="T99" s="38">
        <v>0</v>
      </c>
      <c r="U99" s="30">
        <f t="shared" si="47"/>
        <v>0</v>
      </c>
      <c r="V99" s="29">
        <v>0</v>
      </c>
    </row>
    <row r="100" spans="1:22">
      <c r="A100" s="39" t="s">
        <v>183</v>
      </c>
      <c r="B100" s="40"/>
      <c r="C100" s="20" t="s">
        <v>184</v>
      </c>
      <c r="D100" s="21">
        <f>SUM(D101:D110)</f>
        <v>87000</v>
      </c>
      <c r="E100" s="22">
        <f>SUM(E101:E110)</f>
        <v>0</v>
      </c>
      <c r="F100" s="21">
        <f>SUM(F101:F110)</f>
        <v>87000</v>
      </c>
      <c r="H100" s="21">
        <f>SUM(H101:H110)</f>
        <v>88800</v>
      </c>
      <c r="I100" s="22">
        <f>SUM(I101:I110)</f>
        <v>0</v>
      </c>
      <c r="J100" s="21">
        <f>SUM(J101:J110)</f>
        <v>88800</v>
      </c>
      <c r="L100" s="21">
        <f>SUM(L101:L110)</f>
        <v>92250</v>
      </c>
      <c r="M100" s="22">
        <f>SUM(M101:M110)</f>
        <v>0</v>
      </c>
      <c r="N100" s="21">
        <f>SUM(N101:N110)</f>
        <v>92250</v>
      </c>
      <c r="P100" s="21">
        <v>101250</v>
      </c>
      <c r="Q100" s="22">
        <v>0</v>
      </c>
      <c r="R100" s="21">
        <v>101250</v>
      </c>
      <c r="T100" s="21">
        <f>SUM(T101:T110)</f>
        <v>102750</v>
      </c>
      <c r="U100" s="22">
        <f>SUM(U101:U110)</f>
        <v>0</v>
      </c>
      <c r="V100" s="21">
        <f>SUM(V101:V110)</f>
        <v>102750</v>
      </c>
    </row>
    <row r="101" spans="1:22">
      <c r="A101" s="36" t="s">
        <v>185</v>
      </c>
      <c r="B101" s="37" t="s">
        <v>186</v>
      </c>
      <c r="C101" s="32" t="s">
        <v>93</v>
      </c>
      <c r="D101" s="27">
        <v>0</v>
      </c>
      <c r="E101" s="28">
        <f t="shared" ref="E101:E110" si="48">-F101+D101</f>
        <v>0</v>
      </c>
      <c r="F101" s="27">
        <v>0</v>
      </c>
      <c r="H101" s="27">
        <v>0</v>
      </c>
      <c r="I101" s="28">
        <f t="shared" ref="I101:I110" si="49">-J101+H101</f>
        <v>0</v>
      </c>
      <c r="J101" s="27">
        <v>0</v>
      </c>
      <c r="L101" s="27">
        <v>0</v>
      </c>
      <c r="M101" s="28">
        <f t="shared" ref="M101:M110" si="50">-N101+L101</f>
        <v>0</v>
      </c>
      <c r="N101" s="27">
        <v>0</v>
      </c>
      <c r="P101" s="27">
        <v>0</v>
      </c>
      <c r="Q101" s="28">
        <v>0</v>
      </c>
      <c r="R101" s="27">
        <v>0</v>
      </c>
      <c r="T101" s="27">
        <v>0</v>
      </c>
      <c r="U101" s="28">
        <f t="shared" ref="U101:U110" si="51">-V101+T101</f>
        <v>0</v>
      </c>
      <c r="V101" s="27">
        <v>0</v>
      </c>
    </row>
    <row r="102" spans="1:22">
      <c r="A102" s="36"/>
      <c r="B102" s="37" t="s">
        <v>187</v>
      </c>
      <c r="C102" s="32" t="s">
        <v>111</v>
      </c>
      <c r="D102" s="27">
        <v>0</v>
      </c>
      <c r="E102" s="28">
        <f t="shared" si="48"/>
        <v>0</v>
      </c>
      <c r="F102" s="27">
        <v>0</v>
      </c>
      <c r="H102" s="27">
        <v>0</v>
      </c>
      <c r="I102" s="28">
        <f t="shared" si="49"/>
        <v>0</v>
      </c>
      <c r="J102" s="27">
        <v>0</v>
      </c>
      <c r="L102" s="27">
        <v>0</v>
      </c>
      <c r="M102" s="28">
        <f t="shared" si="50"/>
        <v>0</v>
      </c>
      <c r="N102" s="27">
        <v>0</v>
      </c>
      <c r="P102" s="27">
        <v>0</v>
      </c>
      <c r="Q102" s="28">
        <v>0</v>
      </c>
      <c r="R102" s="27">
        <v>0</v>
      </c>
      <c r="T102" s="27">
        <v>0</v>
      </c>
      <c r="U102" s="28">
        <f t="shared" si="51"/>
        <v>0</v>
      </c>
      <c r="V102" s="27">
        <v>0</v>
      </c>
    </row>
    <row r="103" spans="1:22">
      <c r="A103" s="36" t="s">
        <v>188</v>
      </c>
      <c r="B103" s="37" t="s">
        <v>189</v>
      </c>
      <c r="C103" s="32" t="s">
        <v>96</v>
      </c>
      <c r="D103" s="27">
        <v>0</v>
      </c>
      <c r="E103" s="28">
        <f t="shared" si="48"/>
        <v>0</v>
      </c>
      <c r="F103" s="27">
        <v>0</v>
      </c>
      <c r="H103" s="27">
        <v>0</v>
      </c>
      <c r="I103" s="28">
        <f t="shared" si="49"/>
        <v>0</v>
      </c>
      <c r="J103" s="27">
        <v>0</v>
      </c>
      <c r="L103" s="27">
        <v>0</v>
      </c>
      <c r="M103" s="28">
        <f t="shared" si="50"/>
        <v>0</v>
      </c>
      <c r="N103" s="27">
        <v>0</v>
      </c>
      <c r="P103" s="27">
        <v>0</v>
      </c>
      <c r="Q103" s="28">
        <v>0</v>
      </c>
      <c r="R103" s="27">
        <v>0</v>
      </c>
      <c r="T103" s="27">
        <v>0</v>
      </c>
      <c r="U103" s="28">
        <f t="shared" si="51"/>
        <v>0</v>
      </c>
      <c r="V103" s="27">
        <v>0</v>
      </c>
    </row>
    <row r="104" spans="1:22">
      <c r="A104" s="36"/>
      <c r="B104" s="37" t="s">
        <v>190</v>
      </c>
      <c r="C104" s="32" t="s">
        <v>115</v>
      </c>
      <c r="D104" s="27">
        <v>0</v>
      </c>
      <c r="E104" s="28">
        <f t="shared" si="48"/>
        <v>0</v>
      </c>
      <c r="F104" s="27">
        <v>0</v>
      </c>
      <c r="H104" s="27">
        <v>0</v>
      </c>
      <c r="I104" s="28">
        <f t="shared" si="49"/>
        <v>0</v>
      </c>
      <c r="J104" s="27">
        <v>0</v>
      </c>
      <c r="L104" s="27">
        <v>0</v>
      </c>
      <c r="M104" s="28">
        <f t="shared" si="50"/>
        <v>0</v>
      </c>
      <c r="N104" s="27">
        <v>0</v>
      </c>
      <c r="P104" s="27">
        <v>0</v>
      </c>
      <c r="Q104" s="28">
        <v>0</v>
      </c>
      <c r="R104" s="27">
        <v>0</v>
      </c>
      <c r="T104" s="27">
        <v>0</v>
      </c>
      <c r="U104" s="28">
        <f t="shared" si="51"/>
        <v>0</v>
      </c>
      <c r="V104" s="27">
        <v>0</v>
      </c>
    </row>
    <row r="105" spans="1:22">
      <c r="A105" s="36" t="s">
        <v>191</v>
      </c>
      <c r="B105" s="37" t="s">
        <v>192</v>
      </c>
      <c r="C105" s="54" t="s">
        <v>99</v>
      </c>
      <c r="D105" s="27">
        <f>1.5*E3</f>
        <v>42000</v>
      </c>
      <c r="E105" s="28">
        <f t="shared" si="48"/>
        <v>42000</v>
      </c>
      <c r="F105" s="27">
        <v>0</v>
      </c>
      <c r="H105" s="27">
        <f>1.5*I3</f>
        <v>43800</v>
      </c>
      <c r="I105" s="28">
        <f t="shared" si="49"/>
        <v>43800</v>
      </c>
      <c r="J105" s="27">
        <v>0</v>
      </c>
      <c r="L105" s="27">
        <f>1.5*M3</f>
        <v>45000</v>
      </c>
      <c r="M105" s="28">
        <f t="shared" si="50"/>
        <v>45000</v>
      </c>
      <c r="N105" s="27">
        <v>0</v>
      </c>
      <c r="P105" s="27">
        <v>48750</v>
      </c>
      <c r="Q105" s="28">
        <v>48750</v>
      </c>
      <c r="R105" s="27">
        <v>0</v>
      </c>
      <c r="T105" s="27">
        <f>1.5*U3</f>
        <v>51000</v>
      </c>
      <c r="U105" s="28">
        <f t="shared" si="51"/>
        <v>51000</v>
      </c>
      <c r="V105" s="27">
        <v>0</v>
      </c>
    </row>
    <row r="106" spans="1:22">
      <c r="A106" s="36"/>
      <c r="B106" s="37" t="s">
        <v>193</v>
      </c>
      <c r="C106" s="54" t="s">
        <v>119</v>
      </c>
      <c r="D106" s="29">
        <v>0</v>
      </c>
      <c r="E106" s="30">
        <f t="shared" si="48"/>
        <v>-42000</v>
      </c>
      <c r="F106" s="29">
        <f>1.5*E3</f>
        <v>42000</v>
      </c>
      <c r="H106" s="29">
        <v>0</v>
      </c>
      <c r="I106" s="30">
        <f t="shared" si="49"/>
        <v>-43800</v>
      </c>
      <c r="J106" s="29">
        <f>1.5*I3</f>
        <v>43800</v>
      </c>
      <c r="L106" s="29">
        <v>0</v>
      </c>
      <c r="M106" s="30">
        <f t="shared" si="50"/>
        <v>-45000</v>
      </c>
      <c r="N106" s="29">
        <f>1.5*M3</f>
        <v>45000</v>
      </c>
      <c r="P106" s="29">
        <v>0</v>
      </c>
      <c r="Q106" s="30">
        <v>-48750</v>
      </c>
      <c r="R106" s="29">
        <v>48750</v>
      </c>
      <c r="T106" s="29">
        <v>0</v>
      </c>
      <c r="U106" s="30">
        <f t="shared" si="51"/>
        <v>-51000</v>
      </c>
      <c r="V106" s="29">
        <f>1.5*U3</f>
        <v>51000</v>
      </c>
    </row>
    <row r="107" spans="1:22">
      <c r="A107" s="36"/>
      <c r="B107" s="37" t="s">
        <v>194</v>
      </c>
      <c r="C107" s="54" t="s">
        <v>101</v>
      </c>
      <c r="D107" s="27">
        <f>1.5*F3</f>
        <v>45000</v>
      </c>
      <c r="E107" s="28">
        <f t="shared" si="48"/>
        <v>45000</v>
      </c>
      <c r="F107" s="29">
        <v>0</v>
      </c>
      <c r="H107" s="27">
        <f>1.5*J3</f>
        <v>45000</v>
      </c>
      <c r="I107" s="28">
        <f t="shared" si="49"/>
        <v>45000</v>
      </c>
      <c r="J107" s="29">
        <v>0</v>
      </c>
      <c r="L107" s="27">
        <f>1.5*N3</f>
        <v>47250</v>
      </c>
      <c r="M107" s="28">
        <f t="shared" si="50"/>
        <v>47250</v>
      </c>
      <c r="N107" s="29">
        <v>0</v>
      </c>
      <c r="P107" s="27">
        <v>52500</v>
      </c>
      <c r="Q107" s="28">
        <v>52500</v>
      </c>
      <c r="R107" s="29">
        <v>0</v>
      </c>
      <c r="T107" s="27">
        <f>1.5*V3</f>
        <v>51750</v>
      </c>
      <c r="U107" s="28">
        <f t="shared" si="51"/>
        <v>51750</v>
      </c>
      <c r="V107" s="29">
        <v>0</v>
      </c>
    </row>
    <row r="108" spans="1:22">
      <c r="A108" s="52"/>
      <c r="B108" s="53" t="s">
        <v>195</v>
      </c>
      <c r="C108" s="54" t="s">
        <v>122</v>
      </c>
      <c r="D108" s="55">
        <v>0</v>
      </c>
      <c r="E108" s="28">
        <f t="shared" si="48"/>
        <v>-45000</v>
      </c>
      <c r="F108" s="27">
        <f>1.5*F3</f>
        <v>45000</v>
      </c>
      <c r="H108" s="55">
        <v>0</v>
      </c>
      <c r="I108" s="28">
        <f t="shared" si="49"/>
        <v>-45000</v>
      </c>
      <c r="J108" s="27">
        <f>1.5*J3</f>
        <v>45000</v>
      </c>
      <c r="L108" s="55">
        <v>0</v>
      </c>
      <c r="M108" s="28">
        <f t="shared" si="50"/>
        <v>-47250</v>
      </c>
      <c r="N108" s="27">
        <f>1.5*N3</f>
        <v>47250</v>
      </c>
      <c r="P108" s="55">
        <v>0</v>
      </c>
      <c r="Q108" s="28">
        <v>-52500</v>
      </c>
      <c r="R108" s="27">
        <v>52500</v>
      </c>
      <c r="T108" s="55">
        <v>0</v>
      </c>
      <c r="U108" s="28">
        <f t="shared" si="51"/>
        <v>-51750</v>
      </c>
      <c r="V108" s="27">
        <f>1.5*V3</f>
        <v>51750</v>
      </c>
    </row>
    <row r="109" spans="1:22">
      <c r="A109" s="52" t="s">
        <v>196</v>
      </c>
      <c r="B109" s="53" t="s">
        <v>168</v>
      </c>
      <c r="C109" s="54" t="s">
        <v>104</v>
      </c>
      <c r="D109" s="55">
        <v>0</v>
      </c>
      <c r="E109" s="28">
        <f t="shared" si="48"/>
        <v>0</v>
      </c>
      <c r="F109" s="27">
        <v>0</v>
      </c>
      <c r="H109" s="55">
        <v>0</v>
      </c>
      <c r="I109" s="28">
        <f t="shared" si="49"/>
        <v>0</v>
      </c>
      <c r="J109" s="27">
        <v>0</v>
      </c>
      <c r="L109" s="55">
        <v>0</v>
      </c>
      <c r="M109" s="28">
        <f t="shared" si="50"/>
        <v>0</v>
      </c>
      <c r="N109" s="27">
        <v>0</v>
      </c>
      <c r="P109" s="55">
        <v>0</v>
      </c>
      <c r="Q109" s="28">
        <v>0</v>
      </c>
      <c r="R109" s="27">
        <v>0</v>
      </c>
      <c r="T109" s="55">
        <v>0</v>
      </c>
      <c r="U109" s="28">
        <f t="shared" si="51"/>
        <v>0</v>
      </c>
      <c r="V109" s="27">
        <v>0</v>
      </c>
    </row>
    <row r="110" spans="1:22">
      <c r="A110" s="52"/>
      <c r="B110" s="53" t="s">
        <v>197</v>
      </c>
      <c r="C110" s="54" t="s">
        <v>126</v>
      </c>
      <c r="D110" s="38">
        <v>0</v>
      </c>
      <c r="E110" s="30">
        <f t="shared" si="48"/>
        <v>0</v>
      </c>
      <c r="F110" s="29">
        <v>0</v>
      </c>
      <c r="H110" s="38">
        <v>0</v>
      </c>
      <c r="I110" s="30">
        <f t="shared" si="49"/>
        <v>0</v>
      </c>
      <c r="J110" s="29">
        <v>0</v>
      </c>
      <c r="L110" s="38">
        <v>0</v>
      </c>
      <c r="M110" s="30">
        <f t="shared" si="50"/>
        <v>0</v>
      </c>
      <c r="N110" s="29">
        <v>0</v>
      </c>
      <c r="P110" s="38">
        <v>0</v>
      </c>
      <c r="Q110" s="30">
        <v>0</v>
      </c>
      <c r="R110" s="29">
        <v>0</v>
      </c>
      <c r="T110" s="38">
        <v>0</v>
      </c>
      <c r="U110" s="30">
        <f t="shared" si="51"/>
        <v>0</v>
      </c>
      <c r="V110" s="29">
        <v>0</v>
      </c>
    </row>
    <row r="111" spans="1:22">
      <c r="A111" s="39" t="s">
        <v>198</v>
      </c>
      <c r="B111" s="39"/>
      <c r="C111" s="56" t="s">
        <v>199</v>
      </c>
      <c r="D111" s="21">
        <f>SUM(D112:D121)</f>
        <v>46400</v>
      </c>
      <c r="E111" s="21">
        <f>SUM(E112:E121)</f>
        <v>0</v>
      </c>
      <c r="F111" s="21">
        <f>SUM(F112:F121)</f>
        <v>46400</v>
      </c>
      <c r="G111" s="57"/>
      <c r="H111" s="21">
        <f>SUM(H112:H121)</f>
        <v>24000</v>
      </c>
      <c r="I111" s="21">
        <f>SUM(I112:I121)</f>
        <v>0</v>
      </c>
      <c r="J111" s="21">
        <f>SUM(J112:J121)</f>
        <v>24000</v>
      </c>
      <c r="K111" s="57"/>
      <c r="L111" s="21">
        <f>SUM(L112:L121)</f>
        <v>0</v>
      </c>
      <c r="M111" s="21">
        <f>SUM(M112:M121)</f>
        <v>0</v>
      </c>
      <c r="N111" s="21">
        <f>SUM(N112:N121)</f>
        <v>0</v>
      </c>
      <c r="O111" s="57"/>
      <c r="P111" s="21">
        <v>101250</v>
      </c>
      <c r="Q111" s="21">
        <v>0</v>
      </c>
      <c r="R111" s="21">
        <v>101250</v>
      </c>
      <c r="S111" s="57"/>
      <c r="T111" s="21">
        <f>SUM(T112:T121)</f>
        <v>0</v>
      </c>
      <c r="U111" s="21">
        <f>SUM(U112:U121)</f>
        <v>0</v>
      </c>
      <c r="V111" s="21">
        <f>SUM(V112:V121)</f>
        <v>0</v>
      </c>
    </row>
    <row r="112" spans="1:22">
      <c r="A112" s="36" t="s">
        <v>200</v>
      </c>
      <c r="B112" s="36"/>
      <c r="C112" s="58" t="s">
        <v>93</v>
      </c>
      <c r="D112" s="27">
        <v>0</v>
      </c>
      <c r="E112" s="59">
        <f t="shared" ref="E112:E121" si="52">-F112+D112</f>
        <v>0</v>
      </c>
      <c r="F112" s="27">
        <v>0</v>
      </c>
      <c r="G112" s="57"/>
      <c r="H112" s="27">
        <v>0</v>
      </c>
      <c r="I112" s="59">
        <f t="shared" ref="I112:I121" si="53">-J112+H112</f>
        <v>0</v>
      </c>
      <c r="J112" s="27">
        <v>0</v>
      </c>
      <c r="K112" s="57"/>
      <c r="L112" s="27">
        <v>0</v>
      </c>
      <c r="M112" s="59">
        <f t="shared" ref="M112:M121" si="54">-N112+L112</f>
        <v>0</v>
      </c>
      <c r="N112" s="27">
        <v>0</v>
      </c>
      <c r="O112" s="57"/>
      <c r="P112" s="27">
        <v>0</v>
      </c>
      <c r="Q112" s="59">
        <v>0</v>
      </c>
      <c r="R112" s="27">
        <v>0</v>
      </c>
      <c r="S112" s="57"/>
      <c r="T112" s="27">
        <v>0</v>
      </c>
      <c r="U112" s="59">
        <f t="shared" ref="U112:U121" si="55">-V112+T112</f>
        <v>0</v>
      </c>
      <c r="V112" s="27">
        <v>0</v>
      </c>
    </row>
    <row r="113" spans="1:22">
      <c r="A113" s="36"/>
      <c r="B113" s="36"/>
      <c r="C113" s="58" t="s">
        <v>111</v>
      </c>
      <c r="D113" s="27">
        <v>0</v>
      </c>
      <c r="E113" s="59">
        <f t="shared" si="52"/>
        <v>0</v>
      </c>
      <c r="F113" s="27">
        <v>0</v>
      </c>
      <c r="G113" s="57"/>
      <c r="H113" s="27">
        <v>0</v>
      </c>
      <c r="I113" s="59">
        <f t="shared" si="53"/>
        <v>0</v>
      </c>
      <c r="J113" s="27">
        <v>0</v>
      </c>
      <c r="K113" s="57"/>
      <c r="L113" s="27">
        <v>0</v>
      </c>
      <c r="M113" s="59">
        <f t="shared" si="54"/>
        <v>0</v>
      </c>
      <c r="N113" s="27">
        <v>0</v>
      </c>
      <c r="O113" s="57"/>
      <c r="P113" s="27">
        <v>0</v>
      </c>
      <c r="Q113" s="59">
        <v>0</v>
      </c>
      <c r="R113" s="27">
        <v>0</v>
      </c>
      <c r="S113" s="57"/>
      <c r="T113" s="27">
        <v>0</v>
      </c>
      <c r="U113" s="59">
        <f t="shared" si="55"/>
        <v>0</v>
      </c>
      <c r="V113" s="27">
        <v>0</v>
      </c>
    </row>
    <row r="114" spans="1:22">
      <c r="A114" s="36" t="s">
        <v>201</v>
      </c>
      <c r="B114" s="36"/>
      <c r="C114" s="58" t="s">
        <v>96</v>
      </c>
      <c r="D114" s="27">
        <f>0.4*D3</f>
        <v>12000</v>
      </c>
      <c r="E114" s="59">
        <f t="shared" si="52"/>
        <v>12000</v>
      </c>
      <c r="F114" s="27">
        <v>0</v>
      </c>
      <c r="G114" s="57"/>
      <c r="H114" s="27">
        <v>0</v>
      </c>
      <c r="I114" s="59">
        <f t="shared" si="53"/>
        <v>0</v>
      </c>
      <c r="J114" s="27">
        <v>0</v>
      </c>
      <c r="K114" s="57"/>
      <c r="L114" s="27">
        <v>0</v>
      </c>
      <c r="M114" s="59">
        <f t="shared" si="54"/>
        <v>0</v>
      </c>
      <c r="N114" s="27">
        <v>0</v>
      </c>
      <c r="O114" s="57"/>
      <c r="P114" s="27">
        <v>0</v>
      </c>
      <c r="Q114" s="59">
        <v>0</v>
      </c>
      <c r="R114" s="27">
        <v>0</v>
      </c>
      <c r="S114" s="57"/>
      <c r="T114" s="27">
        <v>0</v>
      </c>
      <c r="U114" s="59">
        <f t="shared" si="55"/>
        <v>0</v>
      </c>
      <c r="V114" s="27">
        <v>0</v>
      </c>
    </row>
    <row r="115" spans="1:22">
      <c r="A115" s="36"/>
      <c r="B115" s="36"/>
      <c r="C115" s="58" t="s">
        <v>115</v>
      </c>
      <c r="D115" s="27">
        <v>0</v>
      </c>
      <c r="E115" s="59">
        <f t="shared" si="52"/>
        <v>-12000</v>
      </c>
      <c r="F115" s="27">
        <f>D114</f>
        <v>12000</v>
      </c>
      <c r="G115" s="57"/>
      <c r="H115" s="27">
        <v>0</v>
      </c>
      <c r="I115" s="59">
        <f t="shared" si="53"/>
        <v>0</v>
      </c>
      <c r="J115" s="27">
        <v>0</v>
      </c>
      <c r="K115" s="57"/>
      <c r="L115" s="27">
        <v>0</v>
      </c>
      <c r="M115" s="59">
        <f t="shared" si="54"/>
        <v>0</v>
      </c>
      <c r="N115" s="27">
        <v>0</v>
      </c>
      <c r="O115" s="57"/>
      <c r="P115" s="27">
        <v>0</v>
      </c>
      <c r="Q115" s="59">
        <v>0</v>
      </c>
      <c r="R115" s="27">
        <v>0</v>
      </c>
      <c r="S115" s="57"/>
      <c r="T115" s="27">
        <v>0</v>
      </c>
      <c r="U115" s="59">
        <f t="shared" si="55"/>
        <v>0</v>
      </c>
      <c r="V115" s="27">
        <v>0</v>
      </c>
    </row>
    <row r="116" spans="1:22">
      <c r="A116" s="36" t="s">
        <v>202</v>
      </c>
      <c r="B116" s="36"/>
      <c r="C116" s="60" t="s">
        <v>99</v>
      </c>
      <c r="D116" s="27">
        <f>0.8*E3</f>
        <v>22400</v>
      </c>
      <c r="E116" s="59">
        <f t="shared" si="52"/>
        <v>22400</v>
      </c>
      <c r="F116" s="27">
        <v>0</v>
      </c>
      <c r="G116" s="57"/>
      <c r="H116" s="27">
        <v>0</v>
      </c>
      <c r="I116" s="59">
        <f t="shared" si="53"/>
        <v>0</v>
      </c>
      <c r="J116" s="27">
        <v>0</v>
      </c>
      <c r="K116" s="57"/>
      <c r="L116" s="27">
        <f>1.5*M14</f>
        <v>0</v>
      </c>
      <c r="M116" s="59">
        <f t="shared" si="54"/>
        <v>0</v>
      </c>
      <c r="N116" s="27">
        <v>0</v>
      </c>
      <c r="O116" s="57"/>
      <c r="P116" s="27">
        <v>0</v>
      </c>
      <c r="Q116" s="59">
        <v>0</v>
      </c>
      <c r="R116" s="27">
        <v>0</v>
      </c>
      <c r="S116" s="57"/>
      <c r="T116" s="27">
        <f>1.5*U14</f>
        <v>0</v>
      </c>
      <c r="U116" s="59">
        <f t="shared" si="55"/>
        <v>0</v>
      </c>
      <c r="V116" s="27">
        <v>0</v>
      </c>
    </row>
    <row r="117" spans="1:22">
      <c r="A117" s="36"/>
      <c r="B117" s="36"/>
      <c r="C117" s="60" t="s">
        <v>119</v>
      </c>
      <c r="D117" s="29">
        <v>0</v>
      </c>
      <c r="E117" s="61">
        <f t="shared" si="52"/>
        <v>-22400</v>
      </c>
      <c r="F117" s="29">
        <f>D116</f>
        <v>22400</v>
      </c>
      <c r="G117" s="57"/>
      <c r="H117" s="29">
        <v>0</v>
      </c>
      <c r="I117" s="61">
        <f t="shared" si="53"/>
        <v>0</v>
      </c>
      <c r="J117" s="29">
        <v>0</v>
      </c>
      <c r="K117" s="57"/>
      <c r="L117" s="29">
        <v>0</v>
      </c>
      <c r="M117" s="61">
        <f t="shared" si="54"/>
        <v>0</v>
      </c>
      <c r="N117" s="29">
        <f>1.5*M14</f>
        <v>0</v>
      </c>
      <c r="O117" s="57"/>
      <c r="P117" s="29">
        <v>0</v>
      </c>
      <c r="Q117" s="61">
        <v>0</v>
      </c>
      <c r="R117" s="29">
        <v>0</v>
      </c>
      <c r="S117" s="57"/>
      <c r="T117" s="29">
        <v>0</v>
      </c>
      <c r="U117" s="61">
        <f t="shared" si="55"/>
        <v>0</v>
      </c>
      <c r="V117" s="29">
        <f>1.5*U14</f>
        <v>0</v>
      </c>
    </row>
    <row r="118" spans="1:22">
      <c r="A118" s="36"/>
      <c r="B118" s="36"/>
      <c r="C118" s="60" t="s">
        <v>101</v>
      </c>
      <c r="D118" s="27">
        <f>0.4*F3</f>
        <v>12000</v>
      </c>
      <c r="E118" s="59">
        <f t="shared" si="52"/>
        <v>12000</v>
      </c>
      <c r="F118" s="29">
        <v>0</v>
      </c>
      <c r="G118" s="57"/>
      <c r="H118" s="27">
        <f>0.8*J3</f>
        <v>24000</v>
      </c>
      <c r="I118" s="59">
        <f t="shared" si="53"/>
        <v>24000</v>
      </c>
      <c r="J118" s="29">
        <v>0</v>
      </c>
      <c r="K118" s="57"/>
      <c r="L118" s="27">
        <f>1.5*N14</f>
        <v>0</v>
      </c>
      <c r="M118" s="59">
        <f t="shared" si="54"/>
        <v>0</v>
      </c>
      <c r="N118" s="29">
        <v>0</v>
      </c>
      <c r="O118" s="57"/>
      <c r="P118" s="27">
        <v>0</v>
      </c>
      <c r="Q118" s="59">
        <v>0</v>
      </c>
      <c r="R118" s="29">
        <v>0</v>
      </c>
      <c r="S118" s="57"/>
      <c r="T118" s="27">
        <f>1.5*V14</f>
        <v>0</v>
      </c>
      <c r="U118" s="59">
        <f t="shared" si="55"/>
        <v>0</v>
      </c>
      <c r="V118" s="29">
        <v>0</v>
      </c>
    </row>
    <row r="119" spans="1:22">
      <c r="A119" s="52"/>
      <c r="B119" s="52"/>
      <c r="C119" s="60" t="s">
        <v>122</v>
      </c>
      <c r="D119" s="55">
        <v>0</v>
      </c>
      <c r="E119" s="59">
        <f t="shared" si="52"/>
        <v>-12000</v>
      </c>
      <c r="F119" s="27">
        <f>D118</f>
        <v>12000</v>
      </c>
      <c r="G119" s="57"/>
      <c r="H119" s="55">
        <v>0</v>
      </c>
      <c r="I119" s="59">
        <f t="shared" si="53"/>
        <v>-24000</v>
      </c>
      <c r="J119" s="27">
        <f>0.8*J3</f>
        <v>24000</v>
      </c>
      <c r="K119" s="57"/>
      <c r="L119" s="55">
        <v>0</v>
      </c>
      <c r="M119" s="59">
        <f t="shared" si="54"/>
        <v>0</v>
      </c>
      <c r="N119" s="27">
        <f>1.5*N14</f>
        <v>0</v>
      </c>
      <c r="O119" s="57"/>
      <c r="P119" s="55">
        <v>0</v>
      </c>
      <c r="Q119" s="59">
        <v>0</v>
      </c>
      <c r="R119" s="27">
        <v>0</v>
      </c>
      <c r="S119" s="57"/>
      <c r="T119" s="55">
        <v>0</v>
      </c>
      <c r="U119" s="59">
        <f t="shared" si="55"/>
        <v>0</v>
      </c>
      <c r="V119" s="27">
        <f>1.5*V14</f>
        <v>0</v>
      </c>
    </row>
    <row r="120" spans="1:22">
      <c r="A120" s="52" t="s">
        <v>203</v>
      </c>
      <c r="B120" s="52"/>
      <c r="C120" s="60" t="s">
        <v>104</v>
      </c>
      <c r="D120" s="55">
        <v>0</v>
      </c>
      <c r="E120" s="59">
        <f t="shared" si="52"/>
        <v>0</v>
      </c>
      <c r="F120" s="27">
        <v>0</v>
      </c>
      <c r="G120" s="57"/>
      <c r="H120" s="55">
        <v>0</v>
      </c>
      <c r="I120" s="59">
        <f t="shared" si="53"/>
        <v>0</v>
      </c>
      <c r="J120" s="27">
        <v>0</v>
      </c>
      <c r="K120" s="57"/>
      <c r="L120" s="55">
        <v>0</v>
      </c>
      <c r="M120" s="59">
        <f t="shared" si="54"/>
        <v>0</v>
      </c>
      <c r="N120" s="27">
        <v>0</v>
      </c>
      <c r="O120" s="57"/>
      <c r="P120" s="55">
        <v>0</v>
      </c>
      <c r="Q120" s="59">
        <v>0</v>
      </c>
      <c r="R120" s="27">
        <v>0</v>
      </c>
      <c r="S120" s="57"/>
      <c r="T120" s="55">
        <v>0</v>
      </c>
      <c r="U120" s="59">
        <f t="shared" si="55"/>
        <v>0</v>
      </c>
      <c r="V120" s="27">
        <v>0</v>
      </c>
    </row>
    <row r="121" spans="1:22">
      <c r="A121" s="52"/>
      <c r="B121" s="52"/>
      <c r="C121" s="60" t="s">
        <v>126</v>
      </c>
      <c r="D121" s="38">
        <v>0</v>
      </c>
      <c r="E121" s="61">
        <f t="shared" si="52"/>
        <v>0</v>
      </c>
      <c r="F121" s="29">
        <v>0</v>
      </c>
      <c r="G121" s="57"/>
      <c r="H121" s="38">
        <v>0</v>
      </c>
      <c r="I121" s="61">
        <f t="shared" si="53"/>
        <v>0</v>
      </c>
      <c r="J121" s="29">
        <v>0</v>
      </c>
      <c r="K121" s="57"/>
      <c r="L121" s="38">
        <v>0</v>
      </c>
      <c r="M121" s="61">
        <f t="shared" si="54"/>
        <v>0</v>
      </c>
      <c r="N121" s="29">
        <v>0</v>
      </c>
      <c r="O121" s="57"/>
      <c r="P121" s="38">
        <v>0</v>
      </c>
      <c r="Q121" s="61">
        <v>0</v>
      </c>
      <c r="R121" s="29">
        <v>0</v>
      </c>
      <c r="S121" s="57"/>
      <c r="T121" s="38">
        <v>0</v>
      </c>
      <c r="U121" s="61">
        <f t="shared" si="55"/>
        <v>0</v>
      </c>
      <c r="V121" s="29">
        <v>0</v>
      </c>
    </row>
    <row r="122" spans="1:22" ht="21">
      <c r="A122" s="47" t="s">
        <v>204</v>
      </c>
      <c r="B122" s="48"/>
      <c r="C122" s="49" t="s">
        <v>205</v>
      </c>
      <c r="D122" s="62">
        <f>SUM(D123,D127)</f>
        <v>0</v>
      </c>
      <c r="E122" s="63">
        <f>SUM(E123,E127)</f>
        <v>-44369.240000000005</v>
      </c>
      <c r="F122" s="64">
        <f>SUM(F123,F127)</f>
        <v>44369.240000000005</v>
      </c>
      <c r="H122" s="62">
        <f>SUM(H123,H127)</f>
        <v>0</v>
      </c>
      <c r="I122" s="63">
        <f>SUM(I123,I127)</f>
        <v>-44369.240000000005</v>
      </c>
      <c r="J122" s="64">
        <f>SUM(J123,J127)</f>
        <v>44369.240000000005</v>
      </c>
      <c r="L122" s="62">
        <f>SUM(L123,L127)</f>
        <v>0</v>
      </c>
      <c r="M122" s="63">
        <f>SUM(M123,M127)</f>
        <v>-44369.240000000005</v>
      </c>
      <c r="N122" s="64">
        <f>SUM(N123,N127)</f>
        <v>44369.240000000005</v>
      </c>
      <c r="P122" s="62">
        <v>0</v>
      </c>
      <c r="Q122" s="63">
        <v>-44369.24</v>
      </c>
      <c r="R122" s="64">
        <v>44369.24</v>
      </c>
      <c r="T122" s="62">
        <f>SUM(T123,T127)</f>
        <v>0</v>
      </c>
      <c r="U122" s="63">
        <f>SUM(U123,U127)</f>
        <v>-41488.79</v>
      </c>
      <c r="V122" s="64">
        <f>SUM(V123,V127)</f>
        <v>41488.79</v>
      </c>
    </row>
    <row r="123" spans="1:22">
      <c r="A123" s="39" t="s">
        <v>206</v>
      </c>
      <c r="B123" s="40"/>
      <c r="C123" s="20" t="s">
        <v>207</v>
      </c>
      <c r="D123" s="65">
        <f>SUM(D124:D126)</f>
        <v>0</v>
      </c>
      <c r="E123" s="66">
        <f>SUM(E124:E126)</f>
        <v>-43369.240000000005</v>
      </c>
      <c r="F123" s="65">
        <f>SUM(F124:F126)</f>
        <v>43369.240000000005</v>
      </c>
      <c r="H123" s="65">
        <f>SUM(H124:H126)</f>
        <v>0</v>
      </c>
      <c r="I123" s="66">
        <f>SUM(I124:I126)</f>
        <v>-43369.240000000005</v>
      </c>
      <c r="J123" s="65">
        <f>SUM(J124:J126)</f>
        <v>43369.240000000005</v>
      </c>
      <c r="L123" s="65">
        <f>SUM(L124:L126)</f>
        <v>0</v>
      </c>
      <c r="M123" s="66">
        <f>SUM(M124:M126)</f>
        <v>-43369.240000000005</v>
      </c>
      <c r="N123" s="65">
        <f>SUM(N124:N126)</f>
        <v>43369.240000000005</v>
      </c>
      <c r="P123" s="65">
        <v>0</v>
      </c>
      <c r="Q123" s="66">
        <v>-43369.24</v>
      </c>
      <c r="R123" s="65">
        <v>43369.24</v>
      </c>
      <c r="T123" s="65">
        <f>SUM(T124:T126)</f>
        <v>0</v>
      </c>
      <c r="U123" s="66">
        <f>SUM(U124:U126)</f>
        <v>-40488.79</v>
      </c>
      <c r="V123" s="65">
        <f>SUM(V124:V126)</f>
        <v>40488.79</v>
      </c>
    </row>
    <row r="124" spans="1:22">
      <c r="A124" s="36" t="s">
        <v>208</v>
      </c>
      <c r="B124" s="37" t="s">
        <v>209</v>
      </c>
      <c r="C124" s="32" t="s">
        <v>210</v>
      </c>
      <c r="D124" s="29">
        <v>0</v>
      </c>
      <c r="E124" s="30">
        <f t="shared" ref="E124:E125" si="56">-F124+D124</f>
        <v>0</v>
      </c>
      <c r="F124" s="29">
        <v>0</v>
      </c>
      <c r="H124" s="29">
        <v>0</v>
      </c>
      <c r="I124" s="30">
        <f t="shared" ref="I124:I125" si="57">-J124+H124</f>
        <v>0</v>
      </c>
      <c r="J124" s="29">
        <v>0</v>
      </c>
      <c r="L124" s="29">
        <v>0</v>
      </c>
      <c r="M124" s="30">
        <f t="shared" ref="M124:M125" si="58">-N124+L124</f>
        <v>0</v>
      </c>
      <c r="N124" s="29">
        <v>0</v>
      </c>
      <c r="P124" s="29">
        <v>0</v>
      </c>
      <c r="Q124" s="30">
        <v>0</v>
      </c>
      <c r="R124" s="29">
        <v>0</v>
      </c>
      <c r="T124" s="29">
        <v>0</v>
      </c>
      <c r="U124" s="30">
        <f t="shared" ref="U124:U125" si="59">-V124+T124</f>
        <v>0</v>
      </c>
      <c r="V124" s="29">
        <v>0</v>
      </c>
    </row>
    <row r="125" spans="1:22">
      <c r="A125" s="36"/>
      <c r="B125" s="37"/>
      <c r="C125" s="32" t="s">
        <v>211</v>
      </c>
      <c r="D125" s="29">
        <v>0</v>
      </c>
      <c r="E125" s="30">
        <f t="shared" si="56"/>
        <v>-43369.240000000005</v>
      </c>
      <c r="F125" s="29">
        <f>D20+12985.34</f>
        <v>43369.240000000005</v>
      </c>
      <c r="H125" s="29">
        <v>0</v>
      </c>
      <c r="I125" s="30">
        <f t="shared" si="57"/>
        <v>-43369.240000000005</v>
      </c>
      <c r="J125" s="29">
        <f>H20+12985.34</f>
        <v>43369.240000000005</v>
      </c>
      <c r="L125" s="29">
        <v>0</v>
      </c>
      <c r="M125" s="30">
        <f t="shared" si="58"/>
        <v>-43369.240000000005</v>
      </c>
      <c r="N125" s="29">
        <f>L20+12985.34</f>
        <v>43369.240000000005</v>
      </c>
      <c r="P125" s="29">
        <v>0</v>
      </c>
      <c r="Q125" s="30">
        <v>-43369.24</v>
      </c>
      <c r="R125" s="29">
        <v>43369.24</v>
      </c>
      <c r="T125" s="29">
        <v>0</v>
      </c>
      <c r="U125" s="30">
        <f t="shared" si="59"/>
        <v>-40488.79</v>
      </c>
      <c r="V125" s="29">
        <f>T20+10105.03</f>
        <v>40488.79</v>
      </c>
    </row>
    <row r="126" spans="1:22">
      <c r="A126" s="36"/>
      <c r="B126" s="67" t="s">
        <v>212</v>
      </c>
      <c r="C126" s="32" t="s">
        <v>213</v>
      </c>
      <c r="D126" s="29">
        <v>0</v>
      </c>
      <c r="E126" s="30">
        <v>0</v>
      </c>
      <c r="F126" s="29">
        <v>0</v>
      </c>
      <c r="H126" s="29">
        <v>0</v>
      </c>
      <c r="I126" s="30">
        <v>0</v>
      </c>
      <c r="J126" s="29">
        <v>0</v>
      </c>
      <c r="L126" s="29">
        <v>0</v>
      </c>
      <c r="M126" s="30">
        <v>0</v>
      </c>
      <c r="N126" s="29">
        <v>0</v>
      </c>
      <c r="P126" s="29">
        <v>0</v>
      </c>
      <c r="Q126" s="30">
        <v>0</v>
      </c>
      <c r="R126" s="29">
        <v>0</v>
      </c>
      <c r="T126" s="29">
        <v>0</v>
      </c>
      <c r="U126" s="30">
        <v>0</v>
      </c>
      <c r="V126" s="29">
        <v>0</v>
      </c>
    </row>
    <row r="127" spans="1:22">
      <c r="A127" s="39" t="s">
        <v>214</v>
      </c>
      <c r="B127" s="40"/>
      <c r="C127" s="20" t="s">
        <v>215</v>
      </c>
      <c r="D127" s="21">
        <f>SUM(D128:D128)</f>
        <v>0</v>
      </c>
      <c r="E127" s="66">
        <f>SUM(E128:E128)</f>
        <v>-1000</v>
      </c>
      <c r="F127" s="21">
        <f>SUM(F128:F128)</f>
        <v>1000</v>
      </c>
      <c r="H127" s="21">
        <f>SUM(H128:H128)</f>
        <v>0</v>
      </c>
      <c r="I127" s="66">
        <f>SUM(I128:I128)</f>
        <v>-1000</v>
      </c>
      <c r="J127" s="21">
        <f>SUM(J128:J128)</f>
        <v>1000</v>
      </c>
      <c r="L127" s="21">
        <f>SUM(L128:L128)</f>
        <v>0</v>
      </c>
      <c r="M127" s="66">
        <f>SUM(M128:M128)</f>
        <v>-1000</v>
      </c>
      <c r="N127" s="21">
        <f>SUM(N128:N128)</f>
        <v>1000</v>
      </c>
      <c r="P127" s="21">
        <v>0</v>
      </c>
      <c r="Q127" s="66">
        <v>-1000</v>
      </c>
      <c r="R127" s="21">
        <v>1000</v>
      </c>
      <c r="T127" s="21">
        <f>SUM(T128:T128)</f>
        <v>0</v>
      </c>
      <c r="U127" s="66">
        <f>SUM(U128:U128)</f>
        <v>-1000</v>
      </c>
      <c r="V127" s="21">
        <f>SUM(V128:V128)</f>
        <v>1000</v>
      </c>
    </row>
    <row r="128" spans="1:22">
      <c r="A128" s="36" t="s">
        <v>216</v>
      </c>
      <c r="B128" s="37" t="s">
        <v>217</v>
      </c>
      <c r="C128" s="32" t="s">
        <v>218</v>
      </c>
      <c r="D128" s="29">
        <v>0</v>
      </c>
      <c r="E128" s="30">
        <f>-F128+D128</f>
        <v>-1000</v>
      </c>
      <c r="F128" s="29">
        <v>1000</v>
      </c>
      <c r="H128" s="29">
        <v>0</v>
      </c>
      <c r="I128" s="30">
        <f>-J128+H128</f>
        <v>-1000</v>
      </c>
      <c r="J128" s="29">
        <v>1000</v>
      </c>
      <c r="L128" s="29">
        <v>0</v>
      </c>
      <c r="M128" s="30">
        <f>-N128+L128</f>
        <v>-1000</v>
      </c>
      <c r="N128" s="29">
        <v>1000</v>
      </c>
      <c r="P128" s="29">
        <v>0</v>
      </c>
      <c r="Q128" s="30">
        <v>-1000</v>
      </c>
      <c r="R128" s="29">
        <v>1000</v>
      </c>
      <c r="T128" s="29">
        <v>0</v>
      </c>
      <c r="U128" s="30">
        <f>-V128+T128</f>
        <v>-1000</v>
      </c>
      <c r="V128" s="29">
        <v>1000</v>
      </c>
    </row>
    <row r="129" spans="1:22" ht="21">
      <c r="A129" s="47" t="s">
        <v>219</v>
      </c>
      <c r="B129" s="48"/>
      <c r="C129" s="49" t="s">
        <v>220</v>
      </c>
      <c r="D129" s="50">
        <f>SUM(D130,D133,D136,D151,D160,D168,D171)</f>
        <v>44000</v>
      </c>
      <c r="E129" s="68">
        <f>SUM(E130,E133,E136,E151,E160,E168,E171)</f>
        <v>-140208</v>
      </c>
      <c r="F129" s="50">
        <f>SUM(F130,F133,F136,F151,F160,F168,F171)</f>
        <v>184208</v>
      </c>
      <c r="H129" s="50">
        <f>SUM(H130,H133,H136,H151,H160,H168,H171)</f>
        <v>24000</v>
      </c>
      <c r="I129" s="68">
        <f>SUM(I130,I133,I136,I151,I160,I168,I171)</f>
        <v>-142208</v>
      </c>
      <c r="J129" s="50">
        <f>SUM(J130,J133,J136,J151,J160,J168,J171)</f>
        <v>166208</v>
      </c>
      <c r="L129" s="50">
        <f>SUM(L130,L133,L136,L151,L160,L168,L171)</f>
        <v>24000</v>
      </c>
      <c r="M129" s="68">
        <f>SUM(M130,M133,M136,M151,M160,M168,M171)</f>
        <v>-142208</v>
      </c>
      <c r="N129" s="50">
        <f>SUM(N130,N133,N136,N151,N160,N168,N171)</f>
        <v>166208</v>
      </c>
      <c r="P129" s="50">
        <v>67500</v>
      </c>
      <c r="Q129" s="68">
        <v>-132308</v>
      </c>
      <c r="R129" s="50">
        <v>199808</v>
      </c>
      <c r="T129" s="50">
        <f>SUM(T130,T133,T136,T151,T160,T168,T171)</f>
        <v>67500</v>
      </c>
      <c r="U129" s="68">
        <f>SUM(U130,U133,U136,U151,U160,U168,U171)</f>
        <v>-111970.43</v>
      </c>
      <c r="V129" s="50">
        <f>SUM(V130,V133,V136,V151,V160,V168,V171)</f>
        <v>179470.43</v>
      </c>
    </row>
    <row r="130" spans="1:22">
      <c r="A130" s="39" t="s">
        <v>221</v>
      </c>
      <c r="B130" s="40"/>
      <c r="C130" s="20" t="s">
        <v>222</v>
      </c>
      <c r="D130" s="65">
        <f>SUM(D131:D132)</f>
        <v>0</v>
      </c>
      <c r="E130" s="22">
        <f>SUM(E131:E132)</f>
        <v>-18200</v>
      </c>
      <c r="F130" s="65">
        <f>SUM(F131:F132)</f>
        <v>18200</v>
      </c>
      <c r="H130" s="65">
        <f>SUM(H131:H132)</f>
        <v>0</v>
      </c>
      <c r="I130" s="22">
        <f>SUM(I131:I132)</f>
        <v>-18200</v>
      </c>
      <c r="J130" s="65">
        <f>SUM(J131:J132)</f>
        <v>18200</v>
      </c>
      <c r="L130" s="65">
        <f>SUM(L131:L132)</f>
        <v>0</v>
      </c>
      <c r="M130" s="22">
        <f>SUM(M131:M132)</f>
        <v>-18200</v>
      </c>
      <c r="N130" s="65">
        <f>SUM(N131:N132)</f>
        <v>18200</v>
      </c>
      <c r="P130" s="65">
        <v>0</v>
      </c>
      <c r="Q130" s="22">
        <v>-18200</v>
      </c>
      <c r="R130" s="65">
        <v>18200</v>
      </c>
      <c r="T130" s="65">
        <f>SUM(T131:T132)</f>
        <v>0</v>
      </c>
      <c r="U130" s="22">
        <f>SUM(U131:U132)</f>
        <v>-18200</v>
      </c>
      <c r="V130" s="65">
        <f>SUM(V131:V132)</f>
        <v>18200</v>
      </c>
    </row>
    <row r="131" spans="1:22">
      <c r="A131" s="36" t="s">
        <v>223</v>
      </c>
      <c r="B131" s="37" t="s">
        <v>224</v>
      </c>
      <c r="C131" s="32" t="s">
        <v>225</v>
      </c>
      <c r="D131" s="29">
        <v>0</v>
      </c>
      <c r="E131" s="30">
        <f t="shared" ref="E131:E132" si="60">-F131+D131</f>
        <v>0</v>
      </c>
      <c r="F131" s="29">
        <v>0</v>
      </c>
      <c r="H131" s="29">
        <v>0</v>
      </c>
      <c r="I131" s="30">
        <f t="shared" ref="I131:I132" si="61">-J131+H131</f>
        <v>0</v>
      </c>
      <c r="J131" s="29">
        <v>0</v>
      </c>
      <c r="L131" s="29">
        <v>0</v>
      </c>
      <c r="M131" s="30">
        <f t="shared" ref="M131:M132" si="62">-N131+L131</f>
        <v>0</v>
      </c>
      <c r="N131" s="29">
        <v>0</v>
      </c>
      <c r="P131" s="29">
        <v>0</v>
      </c>
      <c r="Q131" s="30">
        <v>0</v>
      </c>
      <c r="R131" s="29">
        <v>0</v>
      </c>
      <c r="T131" s="29">
        <v>0</v>
      </c>
      <c r="U131" s="30">
        <f t="shared" ref="U131:U132" si="63">-V131+T131</f>
        <v>0</v>
      </c>
      <c r="V131" s="29">
        <v>0</v>
      </c>
    </row>
    <row r="132" spans="1:22">
      <c r="A132" s="36"/>
      <c r="B132" s="37" t="s">
        <v>226</v>
      </c>
      <c r="C132" s="32" t="s">
        <v>227</v>
      </c>
      <c r="D132" s="29">
        <v>0</v>
      </c>
      <c r="E132" s="30">
        <f t="shared" si="60"/>
        <v>-18200</v>
      </c>
      <c r="F132" s="29">
        <f>23000-4800</f>
        <v>18200</v>
      </c>
      <c r="G132" s="69"/>
      <c r="H132" s="29">
        <v>0</v>
      </c>
      <c r="I132" s="30">
        <f t="shared" si="61"/>
        <v>-18200</v>
      </c>
      <c r="J132" s="29">
        <f>23000-4800</f>
        <v>18200</v>
      </c>
      <c r="L132" s="29">
        <v>0</v>
      </c>
      <c r="M132" s="30">
        <f t="shared" si="62"/>
        <v>-18200</v>
      </c>
      <c r="N132" s="29">
        <f>23000-4800</f>
        <v>18200</v>
      </c>
      <c r="P132" s="29">
        <v>0</v>
      </c>
      <c r="Q132" s="30">
        <v>-18200</v>
      </c>
      <c r="R132" s="29">
        <v>18200</v>
      </c>
      <c r="T132" s="29">
        <v>0</v>
      </c>
      <c r="U132" s="30">
        <f t="shared" si="63"/>
        <v>-18200</v>
      </c>
      <c r="V132" s="29">
        <f>23000-4800</f>
        <v>18200</v>
      </c>
    </row>
    <row r="133" spans="1:22">
      <c r="A133" s="39" t="s">
        <v>228</v>
      </c>
      <c r="B133" s="40"/>
      <c r="C133" s="20" t="s">
        <v>229</v>
      </c>
      <c r="D133" s="65">
        <f>SUM(D134:D135)</f>
        <v>0</v>
      </c>
      <c r="E133" s="22">
        <f>SUM(E134:E135)</f>
        <v>-6508</v>
      </c>
      <c r="F133" s="65">
        <f>SUM(F134:F135)</f>
        <v>6508</v>
      </c>
      <c r="H133" s="65">
        <f>SUM(H134:H135)</f>
        <v>0</v>
      </c>
      <c r="I133" s="22">
        <f>SUM(I134:I135)</f>
        <v>-6508</v>
      </c>
      <c r="J133" s="65">
        <f>SUM(J134:J135)</f>
        <v>6508</v>
      </c>
      <c r="L133" s="65">
        <f>SUM(L134:L135)</f>
        <v>0</v>
      </c>
      <c r="M133" s="22">
        <f>SUM(M134:M135)</f>
        <v>-6508</v>
      </c>
      <c r="N133" s="65">
        <f>SUM(N134:N135)</f>
        <v>6508</v>
      </c>
      <c r="P133" s="65">
        <v>0</v>
      </c>
      <c r="Q133" s="22">
        <v>-6508</v>
      </c>
      <c r="R133" s="65">
        <v>6508</v>
      </c>
      <c r="T133" s="65">
        <f>SUM(T134:T135)</f>
        <v>0</v>
      </c>
      <c r="U133" s="22">
        <f>SUM(U134:U135)</f>
        <v>-6508</v>
      </c>
      <c r="V133" s="65">
        <f>SUM(V134:V135)</f>
        <v>6508</v>
      </c>
    </row>
    <row r="134" spans="1:22">
      <c r="A134" s="36" t="s">
        <v>230</v>
      </c>
      <c r="B134" s="37" t="s">
        <v>231</v>
      </c>
      <c r="C134" s="32" t="s">
        <v>232</v>
      </c>
      <c r="D134" s="29">
        <v>0</v>
      </c>
      <c r="E134" s="30">
        <f t="shared" ref="E134:E135" si="64">-F134+D134</f>
        <v>0</v>
      </c>
      <c r="F134" s="29">
        <v>0</v>
      </c>
      <c r="H134" s="29">
        <v>0</v>
      </c>
      <c r="I134" s="30">
        <f t="shared" ref="I134:I135" si="65">-J134+H134</f>
        <v>0</v>
      </c>
      <c r="J134" s="29">
        <v>0</v>
      </c>
      <c r="L134" s="29">
        <v>0</v>
      </c>
      <c r="M134" s="30">
        <f t="shared" ref="M134:M135" si="66">-N134+L134</f>
        <v>0</v>
      </c>
      <c r="N134" s="29">
        <v>0</v>
      </c>
      <c r="P134" s="29">
        <v>0</v>
      </c>
      <c r="Q134" s="30">
        <v>0</v>
      </c>
      <c r="R134" s="29">
        <v>0</v>
      </c>
      <c r="T134" s="29">
        <v>0</v>
      </c>
      <c r="U134" s="30">
        <f t="shared" ref="U134:U135" si="67">-V134+T134</f>
        <v>0</v>
      </c>
      <c r="V134" s="29">
        <v>0</v>
      </c>
    </row>
    <row r="135" spans="1:22">
      <c r="A135" s="41"/>
      <c r="B135" s="42" t="s">
        <v>233</v>
      </c>
      <c r="C135" s="43" t="s">
        <v>234</v>
      </c>
      <c r="D135" s="29">
        <v>0</v>
      </c>
      <c r="E135" s="30">
        <f t="shared" si="64"/>
        <v>-6508</v>
      </c>
      <c r="F135" s="29">
        <f>10400-3892</f>
        <v>6508</v>
      </c>
      <c r="G135" s="69"/>
      <c r="H135" s="29">
        <v>0</v>
      </c>
      <c r="I135" s="30">
        <f t="shared" si="65"/>
        <v>-6508</v>
      </c>
      <c r="J135" s="29">
        <f>10400-3892</f>
        <v>6508</v>
      </c>
      <c r="L135" s="29">
        <v>0</v>
      </c>
      <c r="M135" s="30">
        <f t="shared" si="66"/>
        <v>-6508</v>
      </c>
      <c r="N135" s="29">
        <f>10400-3892</f>
        <v>6508</v>
      </c>
      <c r="P135" s="29">
        <v>0</v>
      </c>
      <c r="Q135" s="30">
        <v>-6508</v>
      </c>
      <c r="R135" s="29">
        <v>6508</v>
      </c>
      <c r="T135" s="29">
        <v>0</v>
      </c>
      <c r="U135" s="30">
        <f t="shared" si="67"/>
        <v>-6508</v>
      </c>
      <c r="V135" s="29">
        <f>10400-3892</f>
        <v>6508</v>
      </c>
    </row>
    <row r="136" spans="1:22" hidden="1">
      <c r="A136" s="70" t="s">
        <v>235</v>
      </c>
      <c r="B136" s="71"/>
      <c r="C136" s="72" t="s">
        <v>236</v>
      </c>
      <c r="D136" s="65">
        <f>SUM(D137:D144)</f>
        <v>0</v>
      </c>
      <c r="E136" s="22">
        <f>SUM(E137:E144)</f>
        <v>0</v>
      </c>
      <c r="F136" s="65">
        <f>SUM(F137:F144)</f>
        <v>0</v>
      </c>
      <c r="H136" s="65">
        <f>SUM(H137:H144)</f>
        <v>0</v>
      </c>
      <c r="I136" s="22">
        <f>SUM(I137:I144)</f>
        <v>0</v>
      </c>
      <c r="J136" s="65">
        <f>SUM(J137:J144)</f>
        <v>0</v>
      </c>
      <c r="L136" s="65">
        <f>SUM(L137:L144)</f>
        <v>0</v>
      </c>
      <c r="M136" s="22">
        <f>SUM(M137:M144)</f>
        <v>0</v>
      </c>
      <c r="N136" s="65">
        <f>SUM(N137:N144)</f>
        <v>0</v>
      </c>
      <c r="P136" s="65">
        <v>66000</v>
      </c>
      <c r="Q136" s="22">
        <v>11400</v>
      </c>
      <c r="R136" s="65">
        <v>54600</v>
      </c>
      <c r="T136" s="65">
        <f>SUM(T137:T144)</f>
        <v>66000</v>
      </c>
      <c r="U136" s="22">
        <f>SUM(U137:U144)</f>
        <v>11400</v>
      </c>
      <c r="V136" s="65">
        <f>SUM(V137:V144)</f>
        <v>54600</v>
      </c>
    </row>
    <row r="137" spans="1:22" hidden="1">
      <c r="A137" s="36" t="s">
        <v>237</v>
      </c>
      <c r="B137" s="37" t="s">
        <v>238</v>
      </c>
      <c r="C137" s="32" t="s">
        <v>239</v>
      </c>
      <c r="D137" s="29">
        <v>0</v>
      </c>
      <c r="E137" s="30">
        <f t="shared" ref="E137:E144" si="68">-F137+D137</f>
        <v>0</v>
      </c>
      <c r="F137" s="29">
        <v>0</v>
      </c>
      <c r="H137" s="29">
        <v>0</v>
      </c>
      <c r="I137" s="30">
        <f t="shared" ref="I137:I144" si="69">-J137+H137</f>
        <v>0</v>
      </c>
      <c r="J137" s="29">
        <v>0</v>
      </c>
      <c r="L137" s="29">
        <v>0</v>
      </c>
      <c r="M137" s="30">
        <f t="shared" ref="M137:M144" si="70">-N137+L137</f>
        <v>0</v>
      </c>
      <c r="N137" s="29">
        <v>0</v>
      </c>
      <c r="P137" s="29">
        <v>33000</v>
      </c>
      <c r="Q137" s="30">
        <v>33000</v>
      </c>
      <c r="R137" s="29">
        <v>0</v>
      </c>
      <c r="T137" s="29">
        <f>550*3*20</f>
        <v>33000</v>
      </c>
      <c r="U137" s="30">
        <f t="shared" ref="U137:U144" si="71">-V137+T137</f>
        <v>33000</v>
      </c>
      <c r="V137" s="29">
        <v>0</v>
      </c>
    </row>
    <row r="138" spans="1:22" hidden="1">
      <c r="A138" s="36"/>
      <c r="B138" s="37" t="s">
        <v>240</v>
      </c>
      <c r="C138" s="32" t="s">
        <v>241</v>
      </c>
      <c r="D138" s="29">
        <v>0</v>
      </c>
      <c r="E138" s="30">
        <f t="shared" si="68"/>
        <v>0</v>
      </c>
      <c r="F138" s="29">
        <v>0</v>
      </c>
      <c r="H138" s="29">
        <v>0</v>
      </c>
      <c r="I138" s="30">
        <f t="shared" si="69"/>
        <v>0</v>
      </c>
      <c r="J138" s="29">
        <v>0</v>
      </c>
      <c r="L138" s="29">
        <v>0</v>
      </c>
      <c r="M138" s="30">
        <f t="shared" si="70"/>
        <v>0</v>
      </c>
      <c r="N138" s="29">
        <v>0</v>
      </c>
      <c r="P138" s="29">
        <v>0</v>
      </c>
      <c r="Q138" s="30">
        <v>0</v>
      </c>
      <c r="R138" s="29">
        <v>0</v>
      </c>
      <c r="T138" s="29">
        <v>0</v>
      </c>
      <c r="U138" s="30">
        <f t="shared" si="71"/>
        <v>0</v>
      </c>
      <c r="V138" s="29">
        <v>0</v>
      </c>
    </row>
    <row r="139" spans="1:22" hidden="1">
      <c r="A139" s="36"/>
      <c r="B139" s="37" t="s">
        <v>242</v>
      </c>
      <c r="C139" s="32" t="s">
        <v>243</v>
      </c>
      <c r="D139" s="29">
        <v>0</v>
      </c>
      <c r="E139" s="30">
        <f t="shared" si="68"/>
        <v>0</v>
      </c>
      <c r="F139" s="29">
        <v>0</v>
      </c>
      <c r="H139" s="29">
        <v>0</v>
      </c>
      <c r="I139" s="30">
        <f t="shared" si="69"/>
        <v>0</v>
      </c>
      <c r="J139" s="29">
        <v>0</v>
      </c>
      <c r="L139" s="29">
        <v>0</v>
      </c>
      <c r="M139" s="30">
        <f t="shared" si="70"/>
        <v>0</v>
      </c>
      <c r="N139" s="29">
        <v>0</v>
      </c>
      <c r="P139" s="29">
        <v>33000</v>
      </c>
      <c r="Q139" s="30">
        <v>33000</v>
      </c>
      <c r="R139" s="29">
        <v>0</v>
      </c>
      <c r="T139" s="29">
        <f>550*3*20</f>
        <v>33000</v>
      </c>
      <c r="U139" s="30">
        <f t="shared" si="71"/>
        <v>33000</v>
      </c>
      <c r="V139" s="29">
        <v>0</v>
      </c>
    </row>
    <row r="140" spans="1:22" hidden="1">
      <c r="A140" s="36"/>
      <c r="B140" s="37" t="s">
        <v>244</v>
      </c>
      <c r="C140" s="32" t="s">
        <v>245</v>
      </c>
      <c r="D140" s="29">
        <v>0</v>
      </c>
      <c r="E140" s="30">
        <f t="shared" si="68"/>
        <v>0</v>
      </c>
      <c r="F140" s="29">
        <v>0</v>
      </c>
      <c r="H140" s="29">
        <v>0</v>
      </c>
      <c r="I140" s="30">
        <f t="shared" si="69"/>
        <v>0</v>
      </c>
      <c r="J140" s="29">
        <v>0</v>
      </c>
      <c r="L140" s="29">
        <v>0</v>
      </c>
      <c r="M140" s="30">
        <f t="shared" si="70"/>
        <v>0</v>
      </c>
      <c r="N140" s="29">
        <v>0</v>
      </c>
      <c r="P140" s="29">
        <v>0</v>
      </c>
      <c r="Q140" s="30">
        <v>0</v>
      </c>
      <c r="R140" s="29">
        <v>0</v>
      </c>
      <c r="T140" s="29">
        <v>0</v>
      </c>
      <c r="U140" s="30">
        <f t="shared" si="71"/>
        <v>0</v>
      </c>
      <c r="V140" s="29">
        <v>0</v>
      </c>
    </row>
    <row r="141" spans="1:22" hidden="1">
      <c r="A141" s="36" t="s">
        <v>246</v>
      </c>
      <c r="B141" s="37" t="s">
        <v>247</v>
      </c>
      <c r="C141" s="32" t="s">
        <v>248</v>
      </c>
      <c r="D141" s="29">
        <v>0</v>
      </c>
      <c r="E141" s="30">
        <f t="shared" si="68"/>
        <v>0</v>
      </c>
      <c r="F141" s="29">
        <v>0</v>
      </c>
      <c r="H141" s="29">
        <v>0</v>
      </c>
      <c r="I141" s="30">
        <f t="shared" si="69"/>
        <v>0</v>
      </c>
      <c r="J141" s="29">
        <v>0</v>
      </c>
      <c r="L141" s="29">
        <v>0</v>
      </c>
      <c r="M141" s="30">
        <f t="shared" si="70"/>
        <v>0</v>
      </c>
      <c r="N141" s="29">
        <v>0</v>
      </c>
      <c r="P141" s="29">
        <v>0</v>
      </c>
      <c r="Q141" s="30">
        <v>-24300</v>
      </c>
      <c r="R141" s="29">
        <v>24300</v>
      </c>
      <c r="T141" s="29">
        <v>0</v>
      </c>
      <c r="U141" s="30">
        <f t="shared" si="71"/>
        <v>-24300</v>
      </c>
      <c r="V141" s="29">
        <v>24300</v>
      </c>
    </row>
    <row r="142" spans="1:22" hidden="1">
      <c r="A142" s="36"/>
      <c r="B142" s="37" t="s">
        <v>249</v>
      </c>
      <c r="C142" s="32" t="s">
        <v>250</v>
      </c>
      <c r="D142" s="29">
        <v>0</v>
      </c>
      <c r="E142" s="30">
        <f t="shared" si="68"/>
        <v>0</v>
      </c>
      <c r="F142" s="29">
        <v>0</v>
      </c>
      <c r="H142" s="29">
        <v>0</v>
      </c>
      <c r="I142" s="30">
        <f t="shared" si="69"/>
        <v>0</v>
      </c>
      <c r="J142" s="29">
        <v>0</v>
      </c>
      <c r="L142" s="29">
        <v>0</v>
      </c>
      <c r="M142" s="30">
        <f t="shared" si="70"/>
        <v>0</v>
      </c>
      <c r="N142" s="29">
        <v>0</v>
      </c>
      <c r="P142" s="29">
        <v>0</v>
      </c>
      <c r="Q142" s="30">
        <v>-24300</v>
      </c>
      <c r="R142" s="29">
        <v>24300</v>
      </c>
      <c r="T142" s="29">
        <v>0</v>
      </c>
      <c r="U142" s="30">
        <f t="shared" si="71"/>
        <v>-24300</v>
      </c>
      <c r="V142" s="29">
        <v>24300</v>
      </c>
    </row>
    <row r="143" spans="1:22" hidden="1">
      <c r="A143" s="36" t="s">
        <v>251</v>
      </c>
      <c r="B143" s="37" t="s">
        <v>252</v>
      </c>
      <c r="C143" s="32" t="s">
        <v>253</v>
      </c>
      <c r="D143" s="29">
        <v>0</v>
      </c>
      <c r="E143" s="30">
        <f t="shared" si="68"/>
        <v>0</v>
      </c>
      <c r="F143" s="29">
        <v>0</v>
      </c>
      <c r="H143" s="29">
        <v>0</v>
      </c>
      <c r="I143" s="30">
        <f t="shared" si="69"/>
        <v>0</v>
      </c>
      <c r="J143" s="29">
        <v>0</v>
      </c>
      <c r="L143" s="29">
        <v>0</v>
      </c>
      <c r="M143" s="30">
        <f t="shared" si="70"/>
        <v>0</v>
      </c>
      <c r="N143" s="29">
        <v>0</v>
      </c>
      <c r="P143" s="29">
        <v>0</v>
      </c>
      <c r="Q143" s="30">
        <v>-1000</v>
      </c>
      <c r="R143" s="29">
        <v>1000</v>
      </c>
      <c r="T143" s="29">
        <v>0</v>
      </c>
      <c r="U143" s="30">
        <f t="shared" si="71"/>
        <v>-1000</v>
      </c>
      <c r="V143" s="29">
        <v>1000</v>
      </c>
    </row>
    <row r="144" spans="1:22" hidden="1">
      <c r="A144" s="36" t="s">
        <v>254</v>
      </c>
      <c r="B144" s="37" t="s">
        <v>255</v>
      </c>
      <c r="C144" s="32" t="s">
        <v>256</v>
      </c>
      <c r="D144" s="29">
        <v>0</v>
      </c>
      <c r="E144" s="30">
        <f t="shared" si="68"/>
        <v>0</v>
      </c>
      <c r="F144" s="29">
        <v>0</v>
      </c>
      <c r="H144" s="29">
        <v>0</v>
      </c>
      <c r="I144" s="30">
        <f t="shared" si="69"/>
        <v>0</v>
      </c>
      <c r="J144" s="29">
        <v>0</v>
      </c>
      <c r="L144" s="29">
        <v>0</v>
      </c>
      <c r="M144" s="30">
        <f t="shared" si="70"/>
        <v>0</v>
      </c>
      <c r="N144" s="29">
        <v>0</v>
      </c>
      <c r="P144" s="29">
        <v>0</v>
      </c>
      <c r="Q144" s="30">
        <v>-5000</v>
      </c>
      <c r="R144" s="29">
        <v>5000</v>
      </c>
      <c r="T144" s="29">
        <v>0</v>
      </c>
      <c r="U144" s="30">
        <f t="shared" si="71"/>
        <v>-5000</v>
      </c>
      <c r="V144" s="29">
        <f>2000+3000</f>
        <v>5000</v>
      </c>
    </row>
    <row r="145" spans="1:22" s="73" customFormat="1">
      <c r="A145" s="74" t="s">
        <v>257</v>
      </c>
      <c r="B145" s="75"/>
      <c r="C145" s="76" t="s">
        <v>258</v>
      </c>
      <c r="D145" s="77">
        <f>SUM(D146:D150)</f>
        <v>0</v>
      </c>
      <c r="E145" s="78">
        <f>SUM(E146:E150)</f>
        <v>0</v>
      </c>
      <c r="F145" s="77">
        <f>SUM(F146:F150)</f>
        <v>0</v>
      </c>
      <c r="G145" s="69"/>
      <c r="H145" s="77">
        <f>SUM(H146:H150)</f>
        <v>0</v>
      </c>
      <c r="I145" s="78">
        <f>SUM(I146:I150)</f>
        <v>0</v>
      </c>
      <c r="J145" s="77">
        <f>SUM(J146:J150)</f>
        <v>0</v>
      </c>
      <c r="L145" s="77">
        <f>SUM(L146:L150)</f>
        <v>0</v>
      </c>
      <c r="M145" s="78">
        <f>SUM(M146:M150)</f>
        <v>0</v>
      </c>
      <c r="N145" s="77">
        <f>SUM(N146:N150)</f>
        <v>0</v>
      </c>
      <c r="P145" s="77">
        <v>0</v>
      </c>
      <c r="Q145" s="78">
        <v>0</v>
      </c>
      <c r="R145" s="77">
        <v>0</v>
      </c>
      <c r="S145" s="79"/>
      <c r="T145" s="77">
        <f>SUM(T146:T150)</f>
        <v>0</v>
      </c>
      <c r="U145" s="78">
        <f>SUM(U146:U150)</f>
        <v>0</v>
      </c>
      <c r="V145" s="77">
        <f>SUM(V146:V150)</f>
        <v>0</v>
      </c>
    </row>
    <row r="146" spans="1:22">
      <c r="A146" s="36" t="s">
        <v>259</v>
      </c>
      <c r="B146" s="37" t="s">
        <v>260</v>
      </c>
      <c r="C146" s="32" t="s">
        <v>261</v>
      </c>
      <c r="D146" s="29">
        <v>0</v>
      </c>
      <c r="E146" s="30">
        <f t="shared" ref="E146:E150" si="72">-F146+D146</f>
        <v>0</v>
      </c>
      <c r="F146" s="29">
        <v>0</v>
      </c>
      <c r="H146" s="29">
        <v>0</v>
      </c>
      <c r="I146" s="30">
        <f t="shared" ref="I146:I150" si="73">-J146+H146</f>
        <v>0</v>
      </c>
      <c r="J146" s="29">
        <v>0</v>
      </c>
      <c r="L146" s="29">
        <v>0</v>
      </c>
      <c r="M146" s="30">
        <f t="shared" ref="M146:M150" si="74">-N146+L146</f>
        <v>0</v>
      </c>
      <c r="N146" s="29">
        <v>0</v>
      </c>
      <c r="P146" s="29">
        <v>0</v>
      </c>
      <c r="Q146" s="30">
        <v>0</v>
      </c>
      <c r="R146" s="29">
        <v>0</v>
      </c>
      <c r="T146" s="29">
        <v>0</v>
      </c>
      <c r="U146" s="30">
        <f t="shared" ref="U146:U150" si="75">-V146+T146</f>
        <v>0</v>
      </c>
      <c r="V146" s="29">
        <v>0</v>
      </c>
    </row>
    <row r="147" spans="1:22">
      <c r="A147" s="36" t="s">
        <v>262</v>
      </c>
      <c r="B147" s="37" t="s">
        <v>263</v>
      </c>
      <c r="C147" s="32" t="s">
        <v>264</v>
      </c>
      <c r="D147" s="29">
        <v>0</v>
      </c>
      <c r="E147" s="30">
        <f t="shared" si="72"/>
        <v>0</v>
      </c>
      <c r="F147" s="29">
        <v>0</v>
      </c>
      <c r="H147" s="29">
        <v>0</v>
      </c>
      <c r="I147" s="30">
        <f t="shared" si="73"/>
        <v>0</v>
      </c>
      <c r="J147" s="29">
        <v>0</v>
      </c>
      <c r="L147" s="29">
        <v>0</v>
      </c>
      <c r="M147" s="30">
        <f t="shared" si="74"/>
        <v>0</v>
      </c>
      <c r="N147" s="29">
        <v>0</v>
      </c>
      <c r="P147" s="29">
        <v>0</v>
      </c>
      <c r="Q147" s="30">
        <v>0</v>
      </c>
      <c r="R147" s="29">
        <v>0</v>
      </c>
      <c r="T147" s="29">
        <v>0</v>
      </c>
      <c r="U147" s="30">
        <f t="shared" si="75"/>
        <v>0</v>
      </c>
      <c r="V147" s="29">
        <v>0</v>
      </c>
    </row>
    <row r="148" spans="1:22">
      <c r="A148" s="36" t="s">
        <v>265</v>
      </c>
      <c r="B148" s="37" t="s">
        <v>266</v>
      </c>
      <c r="C148" s="32" t="s">
        <v>267</v>
      </c>
      <c r="D148" s="29">
        <v>0</v>
      </c>
      <c r="E148" s="30">
        <f t="shared" si="72"/>
        <v>0</v>
      </c>
      <c r="F148" s="29">
        <v>0</v>
      </c>
      <c r="H148" s="29">
        <v>0</v>
      </c>
      <c r="I148" s="30">
        <f t="shared" si="73"/>
        <v>0</v>
      </c>
      <c r="J148" s="29">
        <v>0</v>
      </c>
      <c r="L148" s="29">
        <v>0</v>
      </c>
      <c r="M148" s="30">
        <f t="shared" si="74"/>
        <v>0</v>
      </c>
      <c r="N148" s="29">
        <v>0</v>
      </c>
      <c r="P148" s="29">
        <v>0</v>
      </c>
      <c r="Q148" s="30">
        <v>0</v>
      </c>
      <c r="R148" s="29">
        <v>0</v>
      </c>
      <c r="T148" s="29">
        <v>0</v>
      </c>
      <c r="U148" s="30">
        <f t="shared" si="75"/>
        <v>0</v>
      </c>
      <c r="V148" s="29">
        <v>0</v>
      </c>
    </row>
    <row r="149" spans="1:22">
      <c r="A149" s="36" t="s">
        <v>268</v>
      </c>
      <c r="B149" s="37" t="s">
        <v>269</v>
      </c>
      <c r="C149" s="32" t="s">
        <v>270</v>
      </c>
      <c r="D149" s="29">
        <v>0</v>
      </c>
      <c r="E149" s="30">
        <f t="shared" si="72"/>
        <v>0</v>
      </c>
      <c r="F149" s="29">
        <v>0</v>
      </c>
      <c r="H149" s="29">
        <v>0</v>
      </c>
      <c r="I149" s="30">
        <f t="shared" si="73"/>
        <v>0</v>
      </c>
      <c r="J149" s="29">
        <v>0</v>
      </c>
      <c r="L149" s="29">
        <v>0</v>
      </c>
      <c r="M149" s="30">
        <f t="shared" si="74"/>
        <v>0</v>
      </c>
      <c r="N149" s="29">
        <v>0</v>
      </c>
      <c r="P149" s="29">
        <v>0</v>
      </c>
      <c r="Q149" s="30">
        <v>0</v>
      </c>
      <c r="R149" s="29">
        <v>0</v>
      </c>
      <c r="T149" s="29">
        <v>0</v>
      </c>
      <c r="U149" s="30">
        <f t="shared" si="75"/>
        <v>0</v>
      </c>
      <c r="V149" s="29">
        <v>0</v>
      </c>
    </row>
    <row r="150" spans="1:22">
      <c r="A150" s="36" t="s">
        <v>271</v>
      </c>
      <c r="B150" s="37" t="s">
        <v>272</v>
      </c>
      <c r="C150" s="32" t="s">
        <v>273</v>
      </c>
      <c r="D150" s="29">
        <v>0</v>
      </c>
      <c r="E150" s="30">
        <f t="shared" si="72"/>
        <v>0</v>
      </c>
      <c r="F150" s="29">
        <v>0</v>
      </c>
      <c r="H150" s="29">
        <v>0</v>
      </c>
      <c r="I150" s="30">
        <f t="shared" si="73"/>
        <v>0</v>
      </c>
      <c r="J150" s="29">
        <v>0</v>
      </c>
      <c r="L150" s="29">
        <v>0</v>
      </c>
      <c r="M150" s="30">
        <f t="shared" si="74"/>
        <v>0</v>
      </c>
      <c r="N150" s="29">
        <v>0</v>
      </c>
      <c r="P150" s="29">
        <v>0</v>
      </c>
      <c r="Q150" s="30">
        <v>0</v>
      </c>
      <c r="R150" s="29">
        <v>0</v>
      </c>
      <c r="T150" s="29">
        <v>0</v>
      </c>
      <c r="U150" s="30">
        <f t="shared" si="75"/>
        <v>0</v>
      </c>
      <c r="V150" s="29">
        <v>0</v>
      </c>
    </row>
    <row r="151" spans="1:22">
      <c r="A151" s="39" t="s">
        <v>274</v>
      </c>
      <c r="B151" s="40"/>
      <c r="C151" s="80" t="s">
        <v>275</v>
      </c>
      <c r="D151" s="21">
        <f>SUM(D152:D159)</f>
        <v>2500</v>
      </c>
      <c r="E151" s="22">
        <f>SUM(E152:E159)</f>
        <v>-46500</v>
      </c>
      <c r="F151" s="21">
        <f>SUM(F152:F159)</f>
        <v>49000</v>
      </c>
      <c r="H151" s="21">
        <f>SUM(H152:H159)</f>
        <v>2500</v>
      </c>
      <c r="I151" s="22">
        <f>SUM(I152:I159)</f>
        <v>-43500</v>
      </c>
      <c r="J151" s="21">
        <f>SUM(J152:J159)</f>
        <v>46000</v>
      </c>
      <c r="L151" s="21">
        <f>SUM(L152:L159)</f>
        <v>2500</v>
      </c>
      <c r="M151" s="22">
        <f>SUM(M152:M159)</f>
        <v>-43500</v>
      </c>
      <c r="N151" s="21">
        <f>SUM(N152:N159)</f>
        <v>46000</v>
      </c>
      <c r="P151" s="21">
        <v>0</v>
      </c>
      <c r="Q151" s="22">
        <v>-43500</v>
      </c>
      <c r="R151" s="21">
        <v>43500</v>
      </c>
      <c r="T151" s="21">
        <f>SUM(T152:T159)</f>
        <v>0</v>
      </c>
      <c r="U151" s="22">
        <f>SUM(U152:U159)</f>
        <v>-42162.43</v>
      </c>
      <c r="V151" s="21">
        <f>SUM(V152:V159)</f>
        <v>42162.43</v>
      </c>
    </row>
    <row r="152" spans="1:22">
      <c r="A152" s="36" t="s">
        <v>276</v>
      </c>
      <c r="B152" s="37" t="s">
        <v>277</v>
      </c>
      <c r="C152" s="32" t="s">
        <v>278</v>
      </c>
      <c r="D152" s="29">
        <v>0</v>
      </c>
      <c r="E152" s="30">
        <f t="shared" ref="E152:E159" si="76">-F152+D152</f>
        <v>0</v>
      </c>
      <c r="F152" s="29">
        <v>0</v>
      </c>
      <c r="H152" s="29">
        <v>0</v>
      </c>
      <c r="I152" s="30">
        <f t="shared" ref="I152:I159" si="77">-J152+H152</f>
        <v>0</v>
      </c>
      <c r="J152" s="29">
        <v>0</v>
      </c>
      <c r="L152" s="29">
        <v>0</v>
      </c>
      <c r="M152" s="30">
        <f t="shared" ref="M152:M159" si="78">-N152+L152</f>
        <v>0</v>
      </c>
      <c r="N152" s="29">
        <v>0</v>
      </c>
      <c r="P152" s="29">
        <v>0</v>
      </c>
      <c r="Q152" s="30">
        <v>0</v>
      </c>
      <c r="R152" s="29">
        <v>0</v>
      </c>
      <c r="T152" s="29">
        <v>0</v>
      </c>
      <c r="U152" s="30">
        <f t="shared" ref="U152:U159" si="79">-V152+T152</f>
        <v>0</v>
      </c>
      <c r="V152" s="29">
        <v>0</v>
      </c>
    </row>
    <row r="153" spans="1:22">
      <c r="A153" s="36"/>
      <c r="B153" s="37" t="s">
        <v>279</v>
      </c>
      <c r="C153" s="32" t="s">
        <v>280</v>
      </c>
      <c r="D153" s="29">
        <v>0</v>
      </c>
      <c r="E153" s="30">
        <f t="shared" si="76"/>
        <v>-12000</v>
      </c>
      <c r="F153" s="29">
        <v>12000</v>
      </c>
      <c r="H153" s="29">
        <v>0</v>
      </c>
      <c r="I153" s="30">
        <f t="shared" si="77"/>
        <v>-11000</v>
      </c>
      <c r="J153" s="29">
        <v>11000</v>
      </c>
      <c r="L153" s="29">
        <v>0</v>
      </c>
      <c r="M153" s="30">
        <f t="shared" si="78"/>
        <v>-11000</v>
      </c>
      <c r="N153" s="29">
        <v>11000</v>
      </c>
      <c r="P153" s="29">
        <v>0</v>
      </c>
      <c r="Q153" s="30">
        <v>-12000</v>
      </c>
      <c r="R153" s="29">
        <v>12000</v>
      </c>
      <c r="T153" s="29">
        <v>0</v>
      </c>
      <c r="U153" s="30">
        <f t="shared" si="79"/>
        <v>-12000</v>
      </c>
      <c r="V153" s="29">
        <v>12000</v>
      </c>
    </row>
    <row r="154" spans="1:22">
      <c r="A154" s="36" t="s">
        <v>281</v>
      </c>
      <c r="B154" s="37" t="s">
        <v>282</v>
      </c>
      <c r="C154" s="32" t="s">
        <v>283</v>
      </c>
      <c r="D154" s="29">
        <v>2500</v>
      </c>
      <c r="E154" s="30">
        <f t="shared" si="76"/>
        <v>2500</v>
      </c>
      <c r="F154" s="29">
        <v>0</v>
      </c>
      <c r="H154" s="29">
        <v>2500</v>
      </c>
      <c r="I154" s="30">
        <f t="shared" si="77"/>
        <v>2500</v>
      </c>
      <c r="J154" s="29">
        <v>0</v>
      </c>
      <c r="L154" s="29">
        <v>2500</v>
      </c>
      <c r="M154" s="30">
        <f t="shared" si="78"/>
        <v>2500</v>
      </c>
      <c r="N154" s="29">
        <v>0</v>
      </c>
      <c r="P154" s="29">
        <v>0</v>
      </c>
      <c r="Q154" s="30">
        <v>0</v>
      </c>
      <c r="R154" s="29">
        <v>0</v>
      </c>
      <c r="T154" s="29">
        <v>0</v>
      </c>
      <c r="U154" s="30">
        <f t="shared" si="79"/>
        <v>0</v>
      </c>
      <c r="V154" s="29">
        <v>0</v>
      </c>
    </row>
    <row r="155" spans="1:22">
      <c r="A155" s="36"/>
      <c r="B155" s="37" t="s">
        <v>284</v>
      </c>
      <c r="C155" s="32" t="s">
        <v>285</v>
      </c>
      <c r="D155" s="29">
        <v>0</v>
      </c>
      <c r="E155" s="30">
        <f t="shared" si="76"/>
        <v>-35000</v>
      </c>
      <c r="F155" s="29">
        <v>35000</v>
      </c>
      <c r="H155" s="29">
        <v>0</v>
      </c>
      <c r="I155" s="30">
        <f t="shared" si="77"/>
        <v>-35000</v>
      </c>
      <c r="J155" s="29">
        <v>35000</v>
      </c>
      <c r="L155" s="29">
        <v>0</v>
      </c>
      <c r="M155" s="30">
        <f t="shared" si="78"/>
        <v>-35000</v>
      </c>
      <c r="N155" s="29">
        <v>35000</v>
      </c>
      <c r="P155" s="29">
        <v>0</v>
      </c>
      <c r="Q155" s="30">
        <v>-30000</v>
      </c>
      <c r="R155" s="29">
        <v>30000</v>
      </c>
      <c r="T155" s="29">
        <v>0</v>
      </c>
      <c r="U155" s="30">
        <f t="shared" si="79"/>
        <v>-30162.43</v>
      </c>
      <c r="V155" s="29">
        <v>30162.43</v>
      </c>
    </row>
    <row r="156" spans="1:22">
      <c r="A156" s="36" t="s">
        <v>286</v>
      </c>
      <c r="B156" s="37" t="s">
        <v>287</v>
      </c>
      <c r="C156" s="32" t="s">
        <v>288</v>
      </c>
      <c r="D156" s="29">
        <v>0</v>
      </c>
      <c r="E156" s="30">
        <f t="shared" si="76"/>
        <v>0</v>
      </c>
      <c r="F156" s="29">
        <v>0</v>
      </c>
      <c r="H156" s="29">
        <v>0</v>
      </c>
      <c r="I156" s="30">
        <f t="shared" si="77"/>
        <v>0</v>
      </c>
      <c r="J156" s="29">
        <v>0</v>
      </c>
      <c r="L156" s="29">
        <v>0</v>
      </c>
      <c r="M156" s="30">
        <f t="shared" si="78"/>
        <v>0</v>
      </c>
      <c r="N156" s="29">
        <v>0</v>
      </c>
      <c r="P156" s="29">
        <v>0</v>
      </c>
      <c r="Q156" s="30">
        <v>0</v>
      </c>
      <c r="R156" s="29">
        <v>0</v>
      </c>
      <c r="T156" s="29">
        <v>0</v>
      </c>
      <c r="U156" s="30">
        <f t="shared" si="79"/>
        <v>0</v>
      </c>
      <c r="V156" s="29">
        <v>0</v>
      </c>
    </row>
    <row r="157" spans="1:22">
      <c r="A157" s="36"/>
      <c r="B157" s="37" t="s">
        <v>289</v>
      </c>
      <c r="C157" s="32" t="s">
        <v>290</v>
      </c>
      <c r="D157" s="29">
        <v>0</v>
      </c>
      <c r="E157" s="30">
        <f t="shared" si="76"/>
        <v>0</v>
      </c>
      <c r="F157" s="29">
        <v>0</v>
      </c>
      <c r="H157" s="29">
        <v>0</v>
      </c>
      <c r="I157" s="30">
        <f t="shared" si="77"/>
        <v>0</v>
      </c>
      <c r="J157" s="29">
        <v>0</v>
      </c>
      <c r="L157" s="29">
        <v>0</v>
      </c>
      <c r="M157" s="30">
        <f t="shared" si="78"/>
        <v>0</v>
      </c>
      <c r="N157" s="29">
        <v>0</v>
      </c>
      <c r="P157" s="29">
        <v>0</v>
      </c>
      <c r="Q157" s="30">
        <v>0</v>
      </c>
      <c r="R157" s="29">
        <v>0</v>
      </c>
      <c r="T157" s="29">
        <v>0</v>
      </c>
      <c r="U157" s="30">
        <f t="shared" si="79"/>
        <v>0</v>
      </c>
      <c r="V157" s="29">
        <v>0</v>
      </c>
    </row>
    <row r="158" spans="1:22">
      <c r="A158" s="36" t="s">
        <v>291</v>
      </c>
      <c r="B158" s="37" t="s">
        <v>292</v>
      </c>
      <c r="C158" s="32" t="s">
        <v>293</v>
      </c>
      <c r="D158" s="29">
        <v>0</v>
      </c>
      <c r="E158" s="30">
        <f t="shared" si="76"/>
        <v>0</v>
      </c>
      <c r="F158" s="29">
        <v>0</v>
      </c>
      <c r="H158" s="29">
        <v>0</v>
      </c>
      <c r="I158" s="30">
        <f t="shared" si="77"/>
        <v>0</v>
      </c>
      <c r="J158" s="29">
        <v>0</v>
      </c>
      <c r="L158" s="29">
        <v>0</v>
      </c>
      <c r="M158" s="30">
        <f t="shared" si="78"/>
        <v>0</v>
      </c>
      <c r="N158" s="29">
        <v>0</v>
      </c>
      <c r="P158" s="29">
        <v>0</v>
      </c>
      <c r="Q158" s="30">
        <v>0</v>
      </c>
      <c r="R158" s="29">
        <v>0</v>
      </c>
      <c r="T158" s="29">
        <v>0</v>
      </c>
      <c r="U158" s="30">
        <f t="shared" si="79"/>
        <v>0</v>
      </c>
      <c r="V158" s="29">
        <v>0</v>
      </c>
    </row>
    <row r="159" spans="1:22">
      <c r="A159" s="36"/>
      <c r="B159" s="37" t="s">
        <v>294</v>
      </c>
      <c r="C159" s="32" t="s">
        <v>295</v>
      </c>
      <c r="D159" s="29">
        <v>0</v>
      </c>
      <c r="E159" s="30">
        <f t="shared" si="76"/>
        <v>-2000</v>
      </c>
      <c r="F159" s="29">
        <v>2000</v>
      </c>
      <c r="H159" s="29">
        <v>0</v>
      </c>
      <c r="I159" s="30">
        <f t="shared" si="77"/>
        <v>0</v>
      </c>
      <c r="J159" s="29">
        <v>0</v>
      </c>
      <c r="L159" s="29">
        <v>0</v>
      </c>
      <c r="M159" s="30">
        <f t="shared" si="78"/>
        <v>0</v>
      </c>
      <c r="N159" s="29">
        <v>0</v>
      </c>
      <c r="P159" s="29">
        <v>0</v>
      </c>
      <c r="Q159" s="30">
        <v>-1500</v>
      </c>
      <c r="R159" s="29">
        <v>1500</v>
      </c>
      <c r="T159" s="29">
        <v>0</v>
      </c>
      <c r="U159" s="30">
        <f t="shared" si="79"/>
        <v>0</v>
      </c>
      <c r="V159" s="29">
        <v>0</v>
      </c>
    </row>
    <row r="160" spans="1:22">
      <c r="A160" s="39" t="s">
        <v>296</v>
      </c>
      <c r="B160" s="40"/>
      <c r="C160" s="20" t="s">
        <v>297</v>
      </c>
      <c r="D160" s="21">
        <f>SUM(D161:D167)</f>
        <v>41000</v>
      </c>
      <c r="E160" s="22">
        <f>SUM(E161:E167)</f>
        <v>-68500</v>
      </c>
      <c r="F160" s="21">
        <f>SUM(F161:F167)</f>
        <v>109500</v>
      </c>
      <c r="H160" s="21">
        <f>SUM(H161:H167)</f>
        <v>21000</v>
      </c>
      <c r="I160" s="22">
        <f>SUM(I161:I167)</f>
        <v>-73500</v>
      </c>
      <c r="J160" s="21">
        <f>SUM(J161:J167)</f>
        <v>94500</v>
      </c>
      <c r="L160" s="21">
        <f>SUM(L161:L167)</f>
        <v>21000</v>
      </c>
      <c r="M160" s="22">
        <f>SUM(M161:M167)</f>
        <v>-73500</v>
      </c>
      <c r="N160" s="21">
        <f>SUM(N161:N167)</f>
        <v>94500</v>
      </c>
      <c r="P160" s="21">
        <v>1000</v>
      </c>
      <c r="Q160" s="22">
        <v>-73500</v>
      </c>
      <c r="R160" s="21">
        <v>74500</v>
      </c>
      <c r="T160" s="21">
        <f>SUM(T161:T167)</f>
        <v>1000</v>
      </c>
      <c r="U160" s="22">
        <f>SUM(U161:U167)</f>
        <v>-55500</v>
      </c>
      <c r="V160" s="21">
        <f>SUM(V161:V167)</f>
        <v>56500</v>
      </c>
    </row>
    <row r="161" spans="1:22">
      <c r="A161" s="36" t="s">
        <v>298</v>
      </c>
      <c r="B161" s="37" t="s">
        <v>299</v>
      </c>
      <c r="C161" s="32" t="s">
        <v>300</v>
      </c>
      <c r="D161" s="29">
        <v>0</v>
      </c>
      <c r="E161" s="30">
        <f t="shared" ref="E161:E167" si="80">-F161+D161</f>
        <v>0</v>
      </c>
      <c r="F161" s="29">
        <v>0</v>
      </c>
      <c r="H161" s="29">
        <v>0</v>
      </c>
      <c r="I161" s="30">
        <f t="shared" ref="I161:I167" si="81">-J161+H161</f>
        <v>0</v>
      </c>
      <c r="J161" s="29">
        <v>0</v>
      </c>
      <c r="L161" s="29">
        <v>0</v>
      </c>
      <c r="M161" s="30">
        <f t="shared" ref="M161:M167" si="82">-N161+L161</f>
        <v>0</v>
      </c>
      <c r="N161" s="29">
        <v>0</v>
      </c>
      <c r="P161" s="29">
        <v>0</v>
      </c>
      <c r="Q161" s="30">
        <v>0</v>
      </c>
      <c r="R161" s="29">
        <v>0</v>
      </c>
      <c r="T161" s="29">
        <v>0</v>
      </c>
      <c r="U161" s="30">
        <f t="shared" ref="U161:U167" si="83">-V161+T161</f>
        <v>0</v>
      </c>
      <c r="V161" s="29">
        <v>0</v>
      </c>
    </row>
    <row r="162" spans="1:22">
      <c r="A162" s="36" t="s">
        <v>301</v>
      </c>
      <c r="B162" s="37" t="s">
        <v>302</v>
      </c>
      <c r="C162" s="32" t="s">
        <v>303</v>
      </c>
      <c r="D162" s="29">
        <v>40000</v>
      </c>
      <c r="E162" s="30">
        <f t="shared" si="80"/>
        <v>40000</v>
      </c>
      <c r="F162" s="29">
        <v>0</v>
      </c>
      <c r="G162" s="69"/>
      <c r="H162" s="29">
        <v>20000</v>
      </c>
      <c r="I162" s="30">
        <f t="shared" si="81"/>
        <v>20000</v>
      </c>
      <c r="J162" s="29">
        <v>0</v>
      </c>
      <c r="L162" s="29">
        <v>20000</v>
      </c>
      <c r="M162" s="30">
        <f t="shared" si="82"/>
        <v>20000</v>
      </c>
      <c r="N162" s="29">
        <v>0</v>
      </c>
      <c r="P162" s="29">
        <v>0</v>
      </c>
      <c r="Q162" s="30">
        <v>0</v>
      </c>
      <c r="R162" s="29">
        <v>0</v>
      </c>
      <c r="T162" s="29">
        <v>0</v>
      </c>
      <c r="U162" s="30">
        <f t="shared" si="83"/>
        <v>0</v>
      </c>
      <c r="V162" s="29">
        <v>0</v>
      </c>
    </row>
    <row r="163" spans="1:22">
      <c r="A163" s="36"/>
      <c r="B163" s="37" t="s">
        <v>304</v>
      </c>
      <c r="C163" s="32" t="s">
        <v>305</v>
      </c>
      <c r="D163" s="29">
        <v>0</v>
      </c>
      <c r="E163" s="30">
        <f t="shared" si="80"/>
        <v>-100000</v>
      </c>
      <c r="F163" s="29">
        <v>100000</v>
      </c>
      <c r="H163" s="29">
        <v>0</v>
      </c>
      <c r="I163" s="30">
        <f t="shared" si="81"/>
        <v>-85000</v>
      </c>
      <c r="J163" s="29">
        <v>85000</v>
      </c>
      <c r="L163" s="29">
        <v>0</v>
      </c>
      <c r="M163" s="30">
        <f t="shared" si="82"/>
        <v>-85000</v>
      </c>
      <c r="N163" s="29">
        <v>85000</v>
      </c>
      <c r="P163" s="29">
        <v>0</v>
      </c>
      <c r="Q163" s="30">
        <v>-65000</v>
      </c>
      <c r="R163" s="29">
        <v>65000</v>
      </c>
      <c r="T163" s="29">
        <v>0</v>
      </c>
      <c r="U163" s="30">
        <f t="shared" si="83"/>
        <v>-50000</v>
      </c>
      <c r="V163" s="29">
        <v>50000</v>
      </c>
    </row>
    <row r="164" spans="1:22">
      <c r="A164" s="36" t="s">
        <v>306</v>
      </c>
      <c r="B164" s="37" t="s">
        <v>307</v>
      </c>
      <c r="C164" s="32" t="s">
        <v>308</v>
      </c>
      <c r="D164" s="29">
        <v>0</v>
      </c>
      <c r="E164" s="30">
        <f t="shared" si="80"/>
        <v>0</v>
      </c>
      <c r="F164" s="29">
        <v>0</v>
      </c>
      <c r="H164" s="29">
        <v>0</v>
      </c>
      <c r="I164" s="30">
        <f t="shared" si="81"/>
        <v>0</v>
      </c>
      <c r="J164" s="29">
        <v>0</v>
      </c>
      <c r="L164" s="29">
        <v>0</v>
      </c>
      <c r="M164" s="30">
        <f t="shared" si="82"/>
        <v>0</v>
      </c>
      <c r="N164" s="29">
        <v>0</v>
      </c>
      <c r="P164" s="29">
        <v>0</v>
      </c>
      <c r="Q164" s="30">
        <v>0</v>
      </c>
      <c r="R164" s="29">
        <v>0</v>
      </c>
      <c r="T164" s="29">
        <v>0</v>
      </c>
      <c r="U164" s="30">
        <f t="shared" si="83"/>
        <v>0</v>
      </c>
      <c r="V164" s="29">
        <v>0</v>
      </c>
    </row>
    <row r="165" spans="1:22">
      <c r="A165" s="36"/>
      <c r="B165" s="37" t="s">
        <v>309</v>
      </c>
      <c r="C165" s="32" t="s">
        <v>310</v>
      </c>
      <c r="D165" s="29">
        <v>0</v>
      </c>
      <c r="E165" s="30">
        <f t="shared" si="80"/>
        <v>-6000</v>
      </c>
      <c r="F165" s="29">
        <v>6000</v>
      </c>
      <c r="H165" s="29">
        <v>0</v>
      </c>
      <c r="I165" s="30">
        <f t="shared" si="81"/>
        <v>-6000</v>
      </c>
      <c r="J165" s="29">
        <v>6000</v>
      </c>
      <c r="L165" s="29">
        <v>0</v>
      </c>
      <c r="M165" s="30">
        <f t="shared" si="82"/>
        <v>-6000</v>
      </c>
      <c r="N165" s="29">
        <v>6000</v>
      </c>
      <c r="P165" s="29">
        <v>0</v>
      </c>
      <c r="Q165" s="30">
        <v>-6000</v>
      </c>
      <c r="R165" s="29">
        <v>6000</v>
      </c>
      <c r="T165" s="29">
        <v>0</v>
      </c>
      <c r="U165" s="30">
        <f t="shared" si="83"/>
        <v>-5000</v>
      </c>
      <c r="V165" s="29">
        <v>5000</v>
      </c>
    </row>
    <row r="166" spans="1:22">
      <c r="A166" s="36" t="s">
        <v>311</v>
      </c>
      <c r="B166" s="37" t="s">
        <v>312</v>
      </c>
      <c r="C166" s="32" t="s">
        <v>313</v>
      </c>
      <c r="D166" s="29">
        <v>1000</v>
      </c>
      <c r="E166" s="30">
        <f t="shared" si="80"/>
        <v>1000</v>
      </c>
      <c r="F166" s="29">
        <v>0</v>
      </c>
      <c r="H166" s="29">
        <v>1000</v>
      </c>
      <c r="I166" s="30">
        <f t="shared" si="81"/>
        <v>1000</v>
      </c>
      <c r="J166" s="29">
        <v>0</v>
      </c>
      <c r="L166" s="29">
        <v>1000</v>
      </c>
      <c r="M166" s="30">
        <f t="shared" si="82"/>
        <v>1000</v>
      </c>
      <c r="N166" s="29">
        <v>0</v>
      </c>
      <c r="P166" s="29">
        <v>1000</v>
      </c>
      <c r="Q166" s="30">
        <v>1000</v>
      </c>
      <c r="R166" s="29">
        <v>0</v>
      </c>
      <c r="T166" s="29">
        <v>1000</v>
      </c>
      <c r="U166" s="30">
        <f t="shared" si="83"/>
        <v>1000</v>
      </c>
      <c r="V166" s="29">
        <v>0</v>
      </c>
    </row>
    <row r="167" spans="1:22">
      <c r="A167" s="36"/>
      <c r="B167" s="37" t="s">
        <v>314</v>
      </c>
      <c r="C167" s="32" t="s">
        <v>315</v>
      </c>
      <c r="D167" s="29">
        <v>0</v>
      </c>
      <c r="E167" s="30">
        <f t="shared" si="80"/>
        <v>-3500</v>
      </c>
      <c r="F167" s="29">
        <v>3500</v>
      </c>
      <c r="H167" s="29">
        <v>0</v>
      </c>
      <c r="I167" s="30">
        <f t="shared" si="81"/>
        <v>-3500</v>
      </c>
      <c r="J167" s="29">
        <v>3500</v>
      </c>
      <c r="L167" s="29">
        <v>0</v>
      </c>
      <c r="M167" s="30">
        <f t="shared" si="82"/>
        <v>-3500</v>
      </c>
      <c r="N167" s="29">
        <v>3500</v>
      </c>
      <c r="P167" s="29">
        <v>0</v>
      </c>
      <c r="Q167" s="30">
        <v>-3500</v>
      </c>
      <c r="R167" s="29">
        <v>3500</v>
      </c>
      <c r="T167" s="29">
        <v>0</v>
      </c>
      <c r="U167" s="30">
        <f t="shared" si="83"/>
        <v>-1500</v>
      </c>
      <c r="V167" s="29">
        <v>1500</v>
      </c>
    </row>
    <row r="168" spans="1:22">
      <c r="A168" s="39" t="s">
        <v>316</v>
      </c>
      <c r="B168" s="40"/>
      <c r="C168" s="20" t="s">
        <v>317</v>
      </c>
      <c r="D168" s="21">
        <f>SUM(D169)</f>
        <v>0</v>
      </c>
      <c r="E168" s="22">
        <f>SUM(E169,E170)</f>
        <v>-1000</v>
      </c>
      <c r="F168" s="21">
        <f>SUM(F169+F170)</f>
        <v>1000</v>
      </c>
      <c r="H168" s="21">
        <f>SUM(H169)</f>
        <v>0</v>
      </c>
      <c r="I168" s="22">
        <f>SUM(I169,I170)</f>
        <v>-1000</v>
      </c>
      <c r="J168" s="21">
        <f>SUM(J169+J170)</f>
        <v>1000</v>
      </c>
      <c r="L168" s="21">
        <f>SUM(L169)</f>
        <v>0</v>
      </c>
      <c r="M168" s="22">
        <f>SUM(M169,M170)</f>
        <v>-1000</v>
      </c>
      <c r="N168" s="21">
        <f>SUM(N169+N170)</f>
        <v>1000</v>
      </c>
      <c r="P168" s="21">
        <v>0</v>
      </c>
      <c r="Q168" s="22">
        <v>-2500</v>
      </c>
      <c r="R168" s="21">
        <v>2500</v>
      </c>
      <c r="T168" s="21">
        <f>SUM(T169)</f>
        <v>0</v>
      </c>
      <c r="U168" s="22">
        <f>SUM(U169,U170)</f>
        <v>-1500</v>
      </c>
      <c r="V168" s="21">
        <f>SUM(V169+V170)</f>
        <v>1500</v>
      </c>
    </row>
    <row r="169" spans="1:22">
      <c r="A169" s="36" t="s">
        <v>318</v>
      </c>
      <c r="B169" s="36" t="s">
        <v>319</v>
      </c>
      <c r="C169" s="58" t="s">
        <v>320</v>
      </c>
      <c r="D169" s="29">
        <v>0</v>
      </c>
      <c r="E169" s="30">
        <f t="shared" ref="E169:E170" si="84">-F169+D169</f>
        <v>0</v>
      </c>
      <c r="F169" s="29">
        <v>0</v>
      </c>
      <c r="H169" s="29">
        <v>0</v>
      </c>
      <c r="I169" s="30">
        <f t="shared" ref="I169:I170" si="85">-J169+H169</f>
        <v>0</v>
      </c>
      <c r="J169" s="29">
        <v>0</v>
      </c>
      <c r="L169" s="29">
        <v>0</v>
      </c>
      <c r="M169" s="30">
        <f t="shared" ref="M169:M170" si="86">-N169+L169</f>
        <v>0</v>
      </c>
      <c r="N169" s="29">
        <v>0</v>
      </c>
      <c r="P169" s="29">
        <v>0</v>
      </c>
      <c r="Q169" s="30">
        <v>0</v>
      </c>
      <c r="R169" s="29">
        <v>0</v>
      </c>
      <c r="T169" s="29">
        <v>0</v>
      </c>
      <c r="U169" s="30">
        <f t="shared" ref="U169:U170" si="87">-V169+T169</f>
        <v>0</v>
      </c>
      <c r="V169" s="29">
        <v>0</v>
      </c>
    </row>
    <row r="170" spans="1:22">
      <c r="A170" s="81"/>
      <c r="B170" s="44" t="s">
        <v>321</v>
      </c>
      <c r="C170" s="82" t="s">
        <v>322</v>
      </c>
      <c r="D170" s="29">
        <v>0</v>
      </c>
      <c r="E170" s="30">
        <f t="shared" si="84"/>
        <v>-1000</v>
      </c>
      <c r="F170" s="29">
        <v>1000</v>
      </c>
      <c r="H170" s="29">
        <v>0</v>
      </c>
      <c r="I170" s="30">
        <f t="shared" si="85"/>
        <v>-1000</v>
      </c>
      <c r="J170" s="29">
        <v>1000</v>
      </c>
      <c r="L170" s="29">
        <v>0</v>
      </c>
      <c r="M170" s="30">
        <f t="shared" si="86"/>
        <v>-1000</v>
      </c>
      <c r="N170" s="29">
        <v>1000</v>
      </c>
      <c r="P170" s="29">
        <v>0</v>
      </c>
      <c r="Q170" s="30">
        <v>-2500</v>
      </c>
      <c r="R170" s="29">
        <v>2500</v>
      </c>
      <c r="T170" s="29">
        <v>0</v>
      </c>
      <c r="U170" s="30">
        <f t="shared" si="87"/>
        <v>-1500</v>
      </c>
      <c r="V170" s="29">
        <v>1500</v>
      </c>
    </row>
    <row r="171" spans="1:22">
      <c r="A171" s="39" t="s">
        <v>323</v>
      </c>
      <c r="B171" s="83"/>
      <c r="C171" s="20" t="s">
        <v>324</v>
      </c>
      <c r="D171" s="21">
        <f>SUM(D172)</f>
        <v>500</v>
      </c>
      <c r="E171" s="22">
        <f>SUM(E172)</f>
        <v>500</v>
      </c>
      <c r="F171" s="21">
        <f>SUM(F172)</f>
        <v>0</v>
      </c>
      <c r="H171" s="21">
        <f>SUM(H172)</f>
        <v>500</v>
      </c>
      <c r="I171" s="22">
        <f>SUM(I172)</f>
        <v>500</v>
      </c>
      <c r="J171" s="21">
        <f>SUM(J172)</f>
        <v>0</v>
      </c>
      <c r="L171" s="21">
        <f>SUM(L172)</f>
        <v>500</v>
      </c>
      <c r="M171" s="22">
        <f>SUM(M172)</f>
        <v>500</v>
      </c>
      <c r="N171" s="21">
        <f>SUM(N172)</f>
        <v>0</v>
      </c>
      <c r="P171" s="21">
        <v>500</v>
      </c>
      <c r="Q171" s="22">
        <v>500</v>
      </c>
      <c r="R171" s="21">
        <v>0</v>
      </c>
      <c r="T171" s="21">
        <f>SUM(T172)</f>
        <v>500</v>
      </c>
      <c r="U171" s="22">
        <f>SUM(U172)</f>
        <v>500</v>
      </c>
      <c r="V171" s="21">
        <f>SUM(V172)</f>
        <v>0</v>
      </c>
    </row>
    <row r="172" spans="1:22">
      <c r="A172" s="36" t="s">
        <v>325</v>
      </c>
      <c r="B172" s="37" t="s">
        <v>326</v>
      </c>
      <c r="C172" s="58" t="s">
        <v>327</v>
      </c>
      <c r="D172" s="29">
        <v>500</v>
      </c>
      <c r="E172" s="30">
        <f t="shared" ref="E172:E173" si="88">-F172+D172</f>
        <v>500</v>
      </c>
      <c r="F172" s="29">
        <v>0</v>
      </c>
      <c r="H172" s="29">
        <v>500</v>
      </c>
      <c r="I172" s="30">
        <f t="shared" ref="I172:I173" si="89">-J172+H172</f>
        <v>500</v>
      </c>
      <c r="J172" s="29">
        <v>0</v>
      </c>
      <c r="L172" s="29">
        <v>500</v>
      </c>
      <c r="M172" s="30">
        <f t="shared" ref="M172:M173" si="90">-N172+L172</f>
        <v>500</v>
      </c>
      <c r="N172" s="29">
        <v>0</v>
      </c>
      <c r="P172" s="29">
        <v>500</v>
      </c>
      <c r="Q172" s="30">
        <v>500</v>
      </c>
      <c r="R172" s="29">
        <v>0</v>
      </c>
      <c r="T172" s="29">
        <v>500</v>
      </c>
      <c r="U172" s="30">
        <f t="shared" ref="U172:U173" si="91">-V172+T172</f>
        <v>500</v>
      </c>
      <c r="V172" s="29">
        <v>0</v>
      </c>
    </row>
    <row r="173" spans="1:22">
      <c r="A173" s="81"/>
      <c r="B173" s="84" t="s">
        <v>328</v>
      </c>
      <c r="C173" s="82" t="s">
        <v>329</v>
      </c>
      <c r="D173" s="29">
        <v>0</v>
      </c>
      <c r="E173" s="30">
        <f t="shared" si="88"/>
        <v>0</v>
      </c>
      <c r="F173" s="29">
        <v>0</v>
      </c>
      <c r="H173" s="29">
        <v>0</v>
      </c>
      <c r="I173" s="30">
        <f t="shared" si="89"/>
        <v>0</v>
      </c>
      <c r="J173" s="29">
        <v>0</v>
      </c>
      <c r="L173" s="29">
        <v>0</v>
      </c>
      <c r="M173" s="30">
        <f t="shared" si="90"/>
        <v>0</v>
      </c>
      <c r="N173" s="29">
        <v>0</v>
      </c>
      <c r="P173" s="29">
        <v>0</v>
      </c>
      <c r="Q173" s="30">
        <v>0</v>
      </c>
      <c r="R173" s="29">
        <v>0</v>
      </c>
      <c r="T173" s="29">
        <v>0</v>
      </c>
      <c r="U173" s="30">
        <f t="shared" si="91"/>
        <v>0</v>
      </c>
      <c r="V173" s="29">
        <v>0</v>
      </c>
    </row>
    <row r="174" spans="1:22" ht="21">
      <c r="A174" s="47" t="s">
        <v>330</v>
      </c>
      <c r="B174" s="48"/>
      <c r="C174" s="49" t="s">
        <v>331</v>
      </c>
      <c r="D174" s="50">
        <f>SUM(D175,D180)</f>
        <v>0</v>
      </c>
      <c r="E174" s="63">
        <f>SUM(E175,E180)</f>
        <v>-464700</v>
      </c>
      <c r="F174" s="50">
        <f>SUM(F175,F180)</f>
        <v>464700</v>
      </c>
      <c r="H174" s="50">
        <f>SUM(H175,H180)</f>
        <v>0</v>
      </c>
      <c r="I174" s="63">
        <f>SUM(I175,I180)</f>
        <v>-444400</v>
      </c>
      <c r="J174" s="50">
        <f>SUM(J175,J180)</f>
        <v>444400</v>
      </c>
      <c r="L174" s="50">
        <f>SUM(L175,L180)</f>
        <v>0</v>
      </c>
      <c r="M174" s="63">
        <f>SUM(M175,M180)</f>
        <v>-450700</v>
      </c>
      <c r="N174" s="50">
        <f>SUM(N175,N180)</f>
        <v>450700</v>
      </c>
      <c r="P174" s="50">
        <v>0</v>
      </c>
      <c r="Q174" s="63">
        <v>-485100</v>
      </c>
      <c r="R174" s="50">
        <v>485100</v>
      </c>
      <c r="T174" s="50">
        <f>SUM(T175,T180)</f>
        <v>0</v>
      </c>
      <c r="U174" s="63">
        <f>SUM(U175,U180)</f>
        <v>-473700</v>
      </c>
      <c r="V174" s="50">
        <f>SUM(V175,V180)</f>
        <v>473700</v>
      </c>
    </row>
    <row r="175" spans="1:22">
      <c r="A175" s="39" t="s">
        <v>332</v>
      </c>
      <c r="B175" s="40"/>
      <c r="C175" s="20" t="s">
        <v>333</v>
      </c>
      <c r="D175" s="21">
        <f>SUM(D176:D179)</f>
        <v>0</v>
      </c>
      <c r="E175" s="22">
        <f>SUM(E176:E179)</f>
        <v>-363200</v>
      </c>
      <c r="F175" s="21">
        <f>SUM(F176:F179)</f>
        <v>363200</v>
      </c>
      <c r="H175" s="21">
        <f>SUM(H176:H179)</f>
        <v>0</v>
      </c>
      <c r="I175" s="22">
        <f>SUM(I176:I179)</f>
        <v>-348900</v>
      </c>
      <c r="J175" s="21">
        <f>SUM(J176:J179)</f>
        <v>348900</v>
      </c>
      <c r="L175" s="21">
        <f>SUM(L176:L179)</f>
        <v>0</v>
      </c>
      <c r="M175" s="22">
        <f>SUM(M176:M179)</f>
        <v>-355200</v>
      </c>
      <c r="N175" s="21">
        <f>SUM(N176:N179)</f>
        <v>355200</v>
      </c>
      <c r="P175" s="21">
        <v>0</v>
      </c>
      <c r="Q175" s="22">
        <v>-389600</v>
      </c>
      <c r="R175" s="21">
        <v>389600</v>
      </c>
      <c r="T175" s="21">
        <f>SUM(T176:T179)</f>
        <v>0</v>
      </c>
      <c r="U175" s="22">
        <f>SUM(U176:U179)</f>
        <v>-378200</v>
      </c>
      <c r="V175" s="21">
        <f>SUM(V176:V179)</f>
        <v>378200</v>
      </c>
    </row>
    <row r="176" spans="1:22">
      <c r="A176" s="36" t="s">
        <v>334</v>
      </c>
      <c r="B176" s="37" t="s">
        <v>335</v>
      </c>
      <c r="C176" s="32" t="s">
        <v>336</v>
      </c>
      <c r="D176" s="29">
        <v>0</v>
      </c>
      <c r="E176" s="30">
        <f t="shared" ref="E176:E179" si="92">-F176+D176</f>
        <v>-131200</v>
      </c>
      <c r="F176" s="29">
        <f>100000+26000*1.2</f>
        <v>131200</v>
      </c>
      <c r="H176" s="29">
        <v>0</v>
      </c>
      <c r="I176" s="30">
        <f t="shared" ref="I176:I179" si="93">-J176+H176</f>
        <v>-108700</v>
      </c>
      <c r="J176" s="29">
        <f>100000+8700</f>
        <v>108700</v>
      </c>
      <c r="K176" s="23"/>
      <c r="L176" s="29">
        <v>0</v>
      </c>
      <c r="M176" s="30">
        <f t="shared" ref="M176:M179" si="94">-N176+L176</f>
        <v>-100000</v>
      </c>
      <c r="N176" s="29">
        <v>100000</v>
      </c>
      <c r="P176" s="29">
        <v>0</v>
      </c>
      <c r="Q176" s="30">
        <v>-153700</v>
      </c>
      <c r="R176" s="29">
        <v>153700</v>
      </c>
      <c r="T176" s="29">
        <v>0</v>
      </c>
      <c r="U176" s="30">
        <f t="shared" ref="U176:U178" si="95">-V176+T176</f>
        <v>-133000</v>
      </c>
      <c r="V176" s="29">
        <f>40000+50000+10500+22000+3600+2400+2000+2500</f>
        <v>133000</v>
      </c>
    </row>
    <row r="177" spans="1:22">
      <c r="A177" s="36" t="s">
        <v>337</v>
      </c>
      <c r="B177" s="37" t="s">
        <v>338</v>
      </c>
      <c r="C177" s="32" t="s">
        <v>339</v>
      </c>
      <c r="D177" s="29">
        <v>0</v>
      </c>
      <c r="E177" s="30">
        <f t="shared" si="92"/>
        <v>-210000</v>
      </c>
      <c r="F177" s="29">
        <v>210000</v>
      </c>
      <c r="G177" s="85"/>
      <c r="H177" s="29">
        <v>0</v>
      </c>
      <c r="I177" s="30">
        <f t="shared" si="93"/>
        <v>-195000</v>
      </c>
      <c r="J177" s="29">
        <v>195000</v>
      </c>
      <c r="L177" s="29">
        <v>0</v>
      </c>
      <c r="M177" s="30">
        <f t="shared" si="94"/>
        <v>-210000</v>
      </c>
      <c r="N177" s="29">
        <v>210000</v>
      </c>
      <c r="P177" s="29">
        <v>0</v>
      </c>
      <c r="Q177" s="30">
        <v>-201700</v>
      </c>
      <c r="R177" s="29">
        <v>201700</v>
      </c>
      <c r="T177" s="29">
        <v>0</v>
      </c>
      <c r="U177" s="30">
        <f t="shared" si="95"/>
        <v>-204400</v>
      </c>
      <c r="V177" s="29">
        <f>9600+6000+7200+7200+9600+31200+12000+7200+2400+7200+7200+7200+7200+7200+12000+7200+4800+1800+1800+1200+7200+39600+400</f>
        <v>204400</v>
      </c>
    </row>
    <row r="178" spans="1:22">
      <c r="A178" s="36"/>
      <c r="B178" s="37" t="s">
        <v>340</v>
      </c>
      <c r="C178" s="32" t="s">
        <v>341</v>
      </c>
      <c r="D178" s="29">
        <v>0</v>
      </c>
      <c r="E178" s="30">
        <f t="shared" si="92"/>
        <v>-20000</v>
      </c>
      <c r="F178" s="29">
        <v>20000</v>
      </c>
      <c r="G178" s="85"/>
      <c r="H178" s="29">
        <v>0</v>
      </c>
      <c r="I178" s="30">
        <f t="shared" si="93"/>
        <v>-43200</v>
      </c>
      <c r="J178" s="29">
        <v>43200</v>
      </c>
      <c r="L178" s="29">
        <v>0</v>
      </c>
      <c r="M178" s="30">
        <f t="shared" si="94"/>
        <v>-43200</v>
      </c>
      <c r="N178" s="29">
        <v>43200</v>
      </c>
      <c r="P178" s="29">
        <v>0</v>
      </c>
      <c r="Q178" s="30">
        <v>-34200</v>
      </c>
      <c r="R178" s="29">
        <v>34200</v>
      </c>
      <c r="T178" s="29">
        <v>0</v>
      </c>
      <c r="U178" s="30">
        <f t="shared" si="95"/>
        <v>-40800</v>
      </c>
      <c r="V178" s="29">
        <f>21600+4800+2400+2400+2400+7200</f>
        <v>40800</v>
      </c>
    </row>
    <row r="179" spans="1:22">
      <c r="A179" s="36"/>
      <c r="B179" s="37" t="s">
        <v>342</v>
      </c>
      <c r="C179" s="32" t="s">
        <v>343</v>
      </c>
      <c r="D179" s="29">
        <v>0</v>
      </c>
      <c r="E179" s="30">
        <f t="shared" si="92"/>
        <v>-2000</v>
      </c>
      <c r="F179" s="29">
        <v>2000</v>
      </c>
      <c r="H179" s="29">
        <v>0</v>
      </c>
      <c r="I179" s="30">
        <f t="shared" si="93"/>
        <v>-2000</v>
      </c>
      <c r="J179" s="29">
        <v>2000</v>
      </c>
      <c r="L179" s="29">
        <v>0</v>
      </c>
      <c r="M179" s="30">
        <f t="shared" si="94"/>
        <v>-2000</v>
      </c>
      <c r="N179" s="29">
        <v>2000</v>
      </c>
      <c r="P179" s="29">
        <v>0</v>
      </c>
      <c r="Q179" s="30">
        <v>0</v>
      </c>
      <c r="R179" s="29">
        <v>0</v>
      </c>
      <c r="T179" s="29">
        <v>0</v>
      </c>
      <c r="U179" s="30">
        <v>0</v>
      </c>
      <c r="V179" s="29">
        <v>0</v>
      </c>
    </row>
    <row r="180" spans="1:22">
      <c r="A180" s="39" t="s">
        <v>344</v>
      </c>
      <c r="B180" s="40"/>
      <c r="C180" s="20" t="s">
        <v>345</v>
      </c>
      <c r="D180" s="21">
        <f>SUM(D181:D186)</f>
        <v>0</v>
      </c>
      <c r="E180" s="22">
        <f>SUM(E181:E186)</f>
        <v>-101500</v>
      </c>
      <c r="F180" s="21">
        <f>SUM(F181:F186)</f>
        <v>101500</v>
      </c>
      <c r="H180" s="21">
        <f>SUM(H181:H186)</f>
        <v>0</v>
      </c>
      <c r="I180" s="22">
        <f>SUM(I181:I186)</f>
        <v>-95500</v>
      </c>
      <c r="J180" s="21">
        <f>SUM(J181:J186)</f>
        <v>95500</v>
      </c>
      <c r="L180" s="21">
        <f>SUM(L181:L186)</f>
        <v>0</v>
      </c>
      <c r="M180" s="22">
        <f>SUM(M181:M186)</f>
        <v>-95500</v>
      </c>
      <c r="N180" s="21">
        <f>SUM(N181:N186)</f>
        <v>95500</v>
      </c>
      <c r="P180" s="21">
        <v>0</v>
      </c>
      <c r="Q180" s="22">
        <v>-95500</v>
      </c>
      <c r="R180" s="21">
        <v>95500</v>
      </c>
      <c r="T180" s="21">
        <f>SUM(T181:T186)</f>
        <v>0</v>
      </c>
      <c r="U180" s="22">
        <f>SUM(U181:U186)</f>
        <v>-95500</v>
      </c>
      <c r="V180" s="21">
        <f>SUM(V181:V186)</f>
        <v>95500</v>
      </c>
    </row>
    <row r="181" spans="1:22">
      <c r="A181" s="36" t="s">
        <v>346</v>
      </c>
      <c r="B181" s="37" t="s">
        <v>347</v>
      </c>
      <c r="C181" s="32" t="s">
        <v>348</v>
      </c>
      <c r="D181" s="29">
        <v>0</v>
      </c>
      <c r="E181" s="30">
        <f t="shared" ref="E181:E186" si="96">-F181+D181</f>
        <v>-76000</v>
      </c>
      <c r="F181" s="29">
        <f>70000+6000</f>
        <v>76000</v>
      </c>
      <c r="H181" s="29">
        <v>0</v>
      </c>
      <c r="I181" s="30">
        <f t="shared" ref="I181:I186" si="97">-J181+H181</f>
        <v>-70000</v>
      </c>
      <c r="J181" s="29">
        <v>70000</v>
      </c>
      <c r="L181" s="29">
        <v>0</v>
      </c>
      <c r="M181" s="30">
        <f t="shared" ref="M181:M186" si="98">-N181+L181</f>
        <v>-70000</v>
      </c>
      <c r="N181" s="29">
        <v>70000</v>
      </c>
      <c r="P181" s="29">
        <v>0</v>
      </c>
      <c r="Q181" s="30">
        <v>-70000</v>
      </c>
      <c r="R181" s="29">
        <v>70000</v>
      </c>
      <c r="T181" s="29">
        <v>0</v>
      </c>
      <c r="U181" s="30">
        <f t="shared" ref="U181:U186" si="99">-V181+T181</f>
        <v>-70000</v>
      </c>
      <c r="V181" s="29">
        <v>70000</v>
      </c>
    </row>
    <row r="182" spans="1:22">
      <c r="A182" s="36"/>
      <c r="B182" s="37" t="s">
        <v>349</v>
      </c>
      <c r="C182" s="32" t="s">
        <v>350</v>
      </c>
      <c r="D182" s="29">
        <v>0</v>
      </c>
      <c r="E182" s="30">
        <f t="shared" si="96"/>
        <v>0</v>
      </c>
      <c r="F182" s="29">
        <v>0</v>
      </c>
      <c r="H182" s="29">
        <v>0</v>
      </c>
      <c r="I182" s="30">
        <f t="shared" si="97"/>
        <v>0</v>
      </c>
      <c r="J182" s="29">
        <v>0</v>
      </c>
      <c r="L182" s="29">
        <v>0</v>
      </c>
      <c r="M182" s="30">
        <f t="shared" si="98"/>
        <v>0</v>
      </c>
      <c r="N182" s="29">
        <v>0</v>
      </c>
      <c r="P182" s="29">
        <v>0</v>
      </c>
      <c r="Q182" s="30">
        <v>0</v>
      </c>
      <c r="R182" s="29">
        <v>0</v>
      </c>
      <c r="T182" s="29">
        <v>0</v>
      </c>
      <c r="U182" s="30">
        <f t="shared" si="99"/>
        <v>0</v>
      </c>
      <c r="V182" s="29">
        <v>0</v>
      </c>
    </row>
    <row r="183" spans="1:22">
      <c r="A183" s="36"/>
      <c r="B183" s="37" t="s">
        <v>351</v>
      </c>
      <c r="C183" s="32" t="s">
        <v>352</v>
      </c>
      <c r="D183" s="29">
        <v>0</v>
      </c>
      <c r="E183" s="30">
        <f t="shared" si="96"/>
        <v>-8500</v>
      </c>
      <c r="F183" s="29">
        <v>8500</v>
      </c>
      <c r="H183" s="29">
        <v>0</v>
      </c>
      <c r="I183" s="30">
        <f t="shared" si="97"/>
        <v>-8500</v>
      </c>
      <c r="J183" s="29">
        <v>8500</v>
      </c>
      <c r="L183" s="29">
        <v>0</v>
      </c>
      <c r="M183" s="30">
        <f t="shared" si="98"/>
        <v>-8500</v>
      </c>
      <c r="N183" s="29">
        <v>8500</v>
      </c>
      <c r="P183" s="29">
        <v>0</v>
      </c>
      <c r="Q183" s="30">
        <v>-8500</v>
      </c>
      <c r="R183" s="29">
        <v>8500</v>
      </c>
      <c r="T183" s="29">
        <v>0</v>
      </c>
      <c r="U183" s="30">
        <f t="shared" si="99"/>
        <v>-8500</v>
      </c>
      <c r="V183" s="29">
        <v>8500</v>
      </c>
    </row>
    <row r="184" spans="1:22">
      <c r="A184" s="36"/>
      <c r="B184" s="37" t="s">
        <v>353</v>
      </c>
      <c r="C184" s="32" t="s">
        <v>354</v>
      </c>
      <c r="D184" s="29">
        <v>0</v>
      </c>
      <c r="E184" s="30">
        <f t="shared" si="96"/>
        <v>-1500</v>
      </c>
      <c r="F184" s="29">
        <v>1500</v>
      </c>
      <c r="H184" s="29">
        <v>0</v>
      </c>
      <c r="I184" s="30">
        <f t="shared" si="97"/>
        <v>-1500</v>
      </c>
      <c r="J184" s="29">
        <v>1500</v>
      </c>
      <c r="L184" s="29">
        <v>0</v>
      </c>
      <c r="M184" s="30">
        <f t="shared" si="98"/>
        <v>-1500</v>
      </c>
      <c r="N184" s="29">
        <v>1500</v>
      </c>
      <c r="P184" s="29">
        <v>0</v>
      </c>
      <c r="Q184" s="30">
        <v>-1500</v>
      </c>
      <c r="R184" s="29">
        <v>1500</v>
      </c>
      <c r="T184" s="29">
        <v>0</v>
      </c>
      <c r="U184" s="30">
        <f t="shared" si="99"/>
        <v>-1500</v>
      </c>
      <c r="V184" s="29">
        <v>1500</v>
      </c>
    </row>
    <row r="185" spans="1:22">
      <c r="A185" s="36"/>
      <c r="B185" s="37" t="s">
        <v>355</v>
      </c>
      <c r="C185" s="32" t="s">
        <v>356</v>
      </c>
      <c r="D185" s="29">
        <v>0</v>
      </c>
      <c r="E185" s="30">
        <f t="shared" si="96"/>
        <v>-500</v>
      </c>
      <c r="F185" s="29">
        <v>500</v>
      </c>
      <c r="H185" s="29">
        <v>0</v>
      </c>
      <c r="I185" s="30">
        <f t="shared" si="97"/>
        <v>-500</v>
      </c>
      <c r="J185" s="29">
        <v>500</v>
      </c>
      <c r="L185" s="29">
        <v>0</v>
      </c>
      <c r="M185" s="30">
        <f t="shared" si="98"/>
        <v>-500</v>
      </c>
      <c r="N185" s="29">
        <v>500</v>
      </c>
      <c r="P185" s="29">
        <v>0</v>
      </c>
      <c r="Q185" s="30">
        <v>-500</v>
      </c>
      <c r="R185" s="29">
        <v>500</v>
      </c>
      <c r="T185" s="29">
        <v>0</v>
      </c>
      <c r="U185" s="30">
        <f t="shared" si="99"/>
        <v>-500</v>
      </c>
      <c r="V185" s="29">
        <v>500</v>
      </c>
    </row>
    <row r="186" spans="1:22">
      <c r="A186" s="36" t="s">
        <v>357</v>
      </c>
      <c r="B186" s="37" t="s">
        <v>358</v>
      </c>
      <c r="C186" s="32" t="s">
        <v>359</v>
      </c>
      <c r="D186" s="29">
        <v>0</v>
      </c>
      <c r="E186" s="30">
        <f t="shared" si="96"/>
        <v>-15000</v>
      </c>
      <c r="F186" s="29">
        <v>15000</v>
      </c>
      <c r="H186" s="29">
        <v>0</v>
      </c>
      <c r="I186" s="30">
        <f t="shared" si="97"/>
        <v>-15000</v>
      </c>
      <c r="J186" s="29">
        <v>15000</v>
      </c>
      <c r="L186" s="29">
        <v>0</v>
      </c>
      <c r="M186" s="30">
        <f t="shared" si="98"/>
        <v>-15000</v>
      </c>
      <c r="N186" s="29">
        <v>15000</v>
      </c>
      <c r="P186" s="29">
        <v>0</v>
      </c>
      <c r="Q186" s="30">
        <v>-15000</v>
      </c>
      <c r="R186" s="29">
        <v>15000</v>
      </c>
      <c r="T186" s="29">
        <v>0</v>
      </c>
      <c r="U186" s="30">
        <f t="shared" si="99"/>
        <v>-15000</v>
      </c>
      <c r="V186" s="29">
        <v>15000</v>
      </c>
    </row>
    <row r="187" spans="1:22" ht="21">
      <c r="A187" s="47" t="s">
        <v>360</v>
      </c>
      <c r="B187" s="48"/>
      <c r="C187" s="49" t="s">
        <v>361</v>
      </c>
      <c r="D187" s="17">
        <f>SUM(D188,D194,D196,D200,D205,D211,D214,D220,D222)</f>
        <v>0</v>
      </c>
      <c r="E187" s="63">
        <f>SUM(E188,E194,E196,E200,E205,E211,E214,E220,E222)</f>
        <v>-301260</v>
      </c>
      <c r="F187" s="17">
        <f>SUM(F188,F194,F196,F200,F205,F211,F214,F220,F222)</f>
        <v>301260</v>
      </c>
      <c r="H187" s="17">
        <f>SUM(H188,H194,H196,H200,H205,H211,H214,H220,H222)</f>
        <v>0</v>
      </c>
      <c r="I187" s="63">
        <f>SUM(I188,I194,I196,I200,I205,I211,I214,I220,I222)</f>
        <v>-224910</v>
      </c>
      <c r="J187" s="17">
        <f>SUM(J188,J194,J196,J200,J205,J211,J214,J220,J222)</f>
        <v>224910</v>
      </c>
      <c r="L187" s="17">
        <f>SUM(L188,L194,L196,L200,L205,L211,L214,L220,L222)</f>
        <v>25200</v>
      </c>
      <c r="M187" s="63">
        <f>SUM(M188,M194,M196,M200,M205,M211,M214,M220,M222)</f>
        <v>-226710</v>
      </c>
      <c r="N187" s="17">
        <f>SUM(N188,N194,N196,N200,N205,N211,N214,N220,N222)</f>
        <v>251910</v>
      </c>
      <c r="P187" s="17">
        <v>0</v>
      </c>
      <c r="Q187" s="63">
        <v>-302910</v>
      </c>
      <c r="R187" s="17">
        <v>302910</v>
      </c>
      <c r="T187" s="17">
        <f>SUM(T188,T194,T196,T200,T205,T211,T214,T220,T222)</f>
        <v>0</v>
      </c>
      <c r="U187" s="63">
        <f>SUM(U188,U194,U196,U200,U205,U211,U214,U220,U222)</f>
        <v>-286010</v>
      </c>
      <c r="V187" s="17">
        <f>SUM(V188,V194,V196,V200,V205,V211,V214,V220,V222)</f>
        <v>286010</v>
      </c>
    </row>
    <row r="188" spans="1:22">
      <c r="A188" s="39" t="s">
        <v>362</v>
      </c>
      <c r="B188" s="40"/>
      <c r="C188" s="20" t="s">
        <v>363</v>
      </c>
      <c r="D188" s="65">
        <f>SUM(D189:D193)</f>
        <v>0</v>
      </c>
      <c r="E188" s="22">
        <f>SUM(E189:E193)</f>
        <v>-45000</v>
      </c>
      <c r="F188" s="65">
        <f>SUM(F189:F193)</f>
        <v>45000</v>
      </c>
      <c r="H188" s="65">
        <f>SUM(H189:H193)</f>
        <v>0</v>
      </c>
      <c r="I188" s="22">
        <f>SUM(I189:I193)</f>
        <v>-35500</v>
      </c>
      <c r="J188" s="65">
        <f>SUM(J189:J193)</f>
        <v>35500</v>
      </c>
      <c r="L188" s="65">
        <f>SUM(L189:L193)</f>
        <v>0</v>
      </c>
      <c r="M188" s="22">
        <f>SUM(M189:M193)</f>
        <v>-35500</v>
      </c>
      <c r="N188" s="65">
        <f>SUM(N189:N193)</f>
        <v>35500</v>
      </c>
      <c r="P188" s="65">
        <v>0</v>
      </c>
      <c r="Q188" s="22">
        <v>-41000</v>
      </c>
      <c r="R188" s="65">
        <v>41000</v>
      </c>
      <c r="T188" s="65">
        <f>SUM(T189:T193)</f>
        <v>0</v>
      </c>
      <c r="U188" s="22">
        <f>SUM(U189:U193)</f>
        <v>-41000</v>
      </c>
      <c r="V188" s="65">
        <f>SUM(V189:V193)</f>
        <v>41000</v>
      </c>
    </row>
    <row r="189" spans="1:22">
      <c r="A189" s="36" t="s">
        <v>364</v>
      </c>
      <c r="B189" s="37" t="s">
        <v>365</v>
      </c>
      <c r="C189" s="32" t="s">
        <v>366</v>
      </c>
      <c r="D189" s="29">
        <v>0</v>
      </c>
      <c r="E189" s="30">
        <f t="shared" ref="E189:E193" si="100">-F189+D189</f>
        <v>-7500</v>
      </c>
      <c r="F189" s="27">
        <v>7500</v>
      </c>
      <c r="H189" s="29">
        <v>0</v>
      </c>
      <c r="I189" s="30">
        <f t="shared" ref="I189:I193" si="101">-J189+H189</f>
        <v>-5000</v>
      </c>
      <c r="J189" s="27">
        <v>5000</v>
      </c>
      <c r="L189" s="29">
        <v>0</v>
      </c>
      <c r="M189" s="30">
        <f t="shared" ref="M189:M193" si="102">-N189+L189</f>
        <v>-5000</v>
      </c>
      <c r="N189" s="27">
        <v>5000</v>
      </c>
      <c r="P189" s="29">
        <v>0</v>
      </c>
      <c r="Q189" s="30">
        <v>-5000</v>
      </c>
      <c r="R189" s="27">
        <v>5000</v>
      </c>
      <c r="T189" s="29">
        <v>0</v>
      </c>
      <c r="U189" s="30">
        <f t="shared" ref="U189:U193" si="103">-V189+T189</f>
        <v>-5000</v>
      </c>
      <c r="V189" s="27">
        <v>5000</v>
      </c>
    </row>
    <row r="190" spans="1:22">
      <c r="A190" s="36" t="s">
        <v>367</v>
      </c>
      <c r="B190" s="37" t="s">
        <v>368</v>
      </c>
      <c r="C190" s="32" t="s">
        <v>369</v>
      </c>
      <c r="D190" s="29">
        <v>0</v>
      </c>
      <c r="E190" s="30">
        <f t="shared" si="100"/>
        <v>-7500</v>
      </c>
      <c r="F190" s="29">
        <v>7500</v>
      </c>
      <c r="H190" s="29">
        <v>0</v>
      </c>
      <c r="I190" s="30">
        <f t="shared" si="101"/>
        <v>-7500</v>
      </c>
      <c r="J190" s="29">
        <v>7500</v>
      </c>
      <c r="L190" s="29">
        <v>0</v>
      </c>
      <c r="M190" s="30">
        <f t="shared" si="102"/>
        <v>-7500</v>
      </c>
      <c r="N190" s="29">
        <v>7500</v>
      </c>
      <c r="P190" s="29">
        <v>0</v>
      </c>
      <c r="Q190" s="30">
        <v>-10000</v>
      </c>
      <c r="R190" s="29">
        <v>10000</v>
      </c>
      <c r="T190" s="29">
        <v>0</v>
      </c>
      <c r="U190" s="30">
        <f t="shared" si="103"/>
        <v>-10000</v>
      </c>
      <c r="V190" s="29">
        <v>10000</v>
      </c>
    </row>
    <row r="191" spans="1:22">
      <c r="A191" s="36" t="s">
        <v>370</v>
      </c>
      <c r="B191" s="37" t="s">
        <v>371</v>
      </c>
      <c r="C191" s="32" t="s">
        <v>372</v>
      </c>
      <c r="D191" s="29">
        <v>0</v>
      </c>
      <c r="E191" s="30">
        <f t="shared" si="100"/>
        <v>-25000</v>
      </c>
      <c r="F191" s="29">
        <v>25000</v>
      </c>
      <c r="G191" s="85"/>
      <c r="H191" s="29">
        <v>0</v>
      </c>
      <c r="I191" s="30">
        <f t="shared" si="101"/>
        <v>-20000</v>
      </c>
      <c r="J191" s="29">
        <v>20000</v>
      </c>
      <c r="L191" s="29">
        <v>0</v>
      </c>
      <c r="M191" s="30">
        <f t="shared" si="102"/>
        <v>-20000</v>
      </c>
      <c r="N191" s="29">
        <v>20000</v>
      </c>
      <c r="P191" s="29">
        <v>0</v>
      </c>
      <c r="Q191" s="30">
        <v>-23000</v>
      </c>
      <c r="R191" s="29">
        <v>23000</v>
      </c>
      <c r="T191" s="29">
        <v>0</v>
      </c>
      <c r="U191" s="30">
        <f t="shared" si="103"/>
        <v>-23000</v>
      </c>
      <c r="V191" s="29">
        <v>23000</v>
      </c>
    </row>
    <row r="192" spans="1:22">
      <c r="A192" s="36" t="s">
        <v>373</v>
      </c>
      <c r="B192" s="37" t="s">
        <v>374</v>
      </c>
      <c r="C192" s="32" t="s">
        <v>375</v>
      </c>
      <c r="D192" s="29">
        <v>0</v>
      </c>
      <c r="E192" s="30">
        <f t="shared" si="100"/>
        <v>0</v>
      </c>
      <c r="F192" s="29">
        <v>0</v>
      </c>
      <c r="H192" s="29">
        <v>0</v>
      </c>
      <c r="I192" s="30">
        <f t="shared" si="101"/>
        <v>0</v>
      </c>
      <c r="J192" s="29">
        <v>0</v>
      </c>
      <c r="L192" s="29">
        <v>0</v>
      </c>
      <c r="M192" s="30">
        <f t="shared" si="102"/>
        <v>0</v>
      </c>
      <c r="N192" s="29">
        <v>0</v>
      </c>
      <c r="P192" s="29">
        <v>0</v>
      </c>
      <c r="Q192" s="30">
        <v>0</v>
      </c>
      <c r="R192" s="29">
        <v>0</v>
      </c>
      <c r="T192" s="29">
        <v>0</v>
      </c>
      <c r="U192" s="30">
        <f t="shared" si="103"/>
        <v>0</v>
      </c>
      <c r="V192" s="29">
        <v>0</v>
      </c>
    </row>
    <row r="193" spans="1:22">
      <c r="A193" s="36"/>
      <c r="B193" s="37" t="s">
        <v>376</v>
      </c>
      <c r="C193" s="32" t="s">
        <v>377</v>
      </c>
      <c r="D193" s="29">
        <v>0</v>
      </c>
      <c r="E193" s="30">
        <f t="shared" si="100"/>
        <v>-5000</v>
      </c>
      <c r="F193" s="29">
        <v>5000</v>
      </c>
      <c r="G193" s="85"/>
      <c r="H193" s="29">
        <v>0</v>
      </c>
      <c r="I193" s="30">
        <f t="shared" si="101"/>
        <v>-3000</v>
      </c>
      <c r="J193" s="29">
        <v>3000</v>
      </c>
      <c r="L193" s="29">
        <v>0</v>
      </c>
      <c r="M193" s="30">
        <f t="shared" si="102"/>
        <v>-3000</v>
      </c>
      <c r="N193" s="29">
        <v>3000</v>
      </c>
      <c r="P193" s="29">
        <v>0</v>
      </c>
      <c r="Q193" s="30">
        <v>-3000</v>
      </c>
      <c r="R193" s="29">
        <v>3000</v>
      </c>
      <c r="T193" s="29">
        <v>0</v>
      </c>
      <c r="U193" s="30">
        <f t="shared" si="103"/>
        <v>-3000</v>
      </c>
      <c r="V193" s="29">
        <v>3000</v>
      </c>
    </row>
    <row r="194" spans="1:22">
      <c r="A194" s="39" t="s">
        <v>378</v>
      </c>
      <c r="B194" s="40"/>
      <c r="C194" s="20" t="s">
        <v>379</v>
      </c>
      <c r="D194" s="65">
        <f>SUM(D195:D195)</f>
        <v>0</v>
      </c>
      <c r="E194" s="22">
        <f>SUM(E195)</f>
        <v>-750</v>
      </c>
      <c r="F194" s="65">
        <f>SUM(F195:F195)</f>
        <v>750</v>
      </c>
      <c r="H194" s="65">
        <f>SUM(H195:H195)</f>
        <v>0</v>
      </c>
      <c r="I194" s="22">
        <f>SUM(I195)</f>
        <v>-500</v>
      </c>
      <c r="J194" s="65">
        <f>SUM(J195:J195)</f>
        <v>500</v>
      </c>
      <c r="L194" s="65">
        <f>SUM(L195:L195)</f>
        <v>0</v>
      </c>
      <c r="M194" s="22">
        <f>SUM(M195)</f>
        <v>-500</v>
      </c>
      <c r="N194" s="65">
        <f>SUM(N195:N195)</f>
        <v>500</v>
      </c>
      <c r="P194" s="65">
        <v>0</v>
      </c>
      <c r="Q194" s="22">
        <v>-500</v>
      </c>
      <c r="R194" s="65">
        <v>500</v>
      </c>
      <c r="T194" s="65">
        <f>SUM(T195:T195)</f>
        <v>0</v>
      </c>
      <c r="U194" s="22">
        <f>SUM(U195)</f>
        <v>-500</v>
      </c>
      <c r="V194" s="65">
        <f>SUM(V195:V195)</f>
        <v>500</v>
      </c>
    </row>
    <row r="195" spans="1:22">
      <c r="A195" s="36" t="s">
        <v>380</v>
      </c>
      <c r="B195" s="37" t="s">
        <v>381</v>
      </c>
      <c r="C195" s="32" t="s">
        <v>379</v>
      </c>
      <c r="D195" s="29">
        <v>0</v>
      </c>
      <c r="E195" s="30">
        <f>-F195+D195</f>
        <v>-750</v>
      </c>
      <c r="F195" s="29">
        <v>750</v>
      </c>
      <c r="H195" s="29">
        <v>0</v>
      </c>
      <c r="I195" s="30">
        <f>-J195+H195</f>
        <v>-500</v>
      </c>
      <c r="J195" s="29">
        <v>500</v>
      </c>
      <c r="L195" s="29">
        <v>0</v>
      </c>
      <c r="M195" s="30">
        <f>-N195+L195</f>
        <v>-500</v>
      </c>
      <c r="N195" s="29">
        <v>500</v>
      </c>
      <c r="P195" s="29">
        <v>0</v>
      </c>
      <c r="Q195" s="30">
        <v>-500</v>
      </c>
      <c r="R195" s="29">
        <v>500</v>
      </c>
      <c r="T195" s="29">
        <v>0</v>
      </c>
      <c r="U195" s="30">
        <f>-V195+T195</f>
        <v>-500</v>
      </c>
      <c r="V195" s="29">
        <v>500</v>
      </c>
    </row>
    <row r="196" spans="1:22">
      <c r="A196" s="39" t="s">
        <v>382</v>
      </c>
      <c r="B196" s="40"/>
      <c r="C196" s="20" t="s">
        <v>383</v>
      </c>
      <c r="D196" s="65">
        <f>SUM(D197:D199)</f>
        <v>0</v>
      </c>
      <c r="E196" s="22">
        <f>SUM(E197:E199)</f>
        <v>-29000</v>
      </c>
      <c r="F196" s="65">
        <f>SUM(F197:F199)</f>
        <v>29000</v>
      </c>
      <c r="H196" s="65">
        <f>SUM(H197:H199)</f>
        <v>0</v>
      </c>
      <c r="I196" s="22">
        <f>SUM(I197:I199)</f>
        <v>-17900</v>
      </c>
      <c r="J196" s="65">
        <f>SUM(J197:J199)</f>
        <v>17900</v>
      </c>
      <c r="L196" s="65">
        <f>SUM(L197:L199)</f>
        <v>0</v>
      </c>
      <c r="M196" s="22">
        <f>SUM(M197:M199)</f>
        <v>-17900</v>
      </c>
      <c r="N196" s="65">
        <f>SUM(N197:N199)</f>
        <v>17900</v>
      </c>
      <c r="P196" s="65">
        <v>0</v>
      </c>
      <c r="Q196" s="22">
        <v>-25900</v>
      </c>
      <c r="R196" s="65">
        <v>25900</v>
      </c>
      <c r="T196" s="65">
        <f>SUM(T197:T199)</f>
        <v>0</v>
      </c>
      <c r="U196" s="22">
        <f>SUM(U197:U199)</f>
        <v>-24000</v>
      </c>
      <c r="V196" s="65">
        <f>SUM(V197:V199)</f>
        <v>24000</v>
      </c>
    </row>
    <row r="197" spans="1:22">
      <c r="A197" s="36" t="s">
        <v>384</v>
      </c>
      <c r="B197" s="37" t="s">
        <v>385</v>
      </c>
      <c r="C197" s="32" t="s">
        <v>386</v>
      </c>
      <c r="D197" s="29">
        <v>0</v>
      </c>
      <c r="E197" s="30">
        <f t="shared" ref="E197:E199" si="104">-F197+D197</f>
        <v>-3000</v>
      </c>
      <c r="F197" s="29">
        <v>3000</v>
      </c>
      <c r="H197" s="29">
        <v>0</v>
      </c>
      <c r="I197" s="30">
        <f t="shared" ref="I197:I199" si="105">-J197+H197</f>
        <v>-2000</v>
      </c>
      <c r="J197" s="29">
        <v>2000</v>
      </c>
      <c r="L197" s="29">
        <v>0</v>
      </c>
      <c r="M197" s="30">
        <f t="shared" ref="M197:M199" si="106">-N197+L197</f>
        <v>-2000</v>
      </c>
      <c r="N197" s="29">
        <v>2000</v>
      </c>
      <c r="P197" s="29">
        <v>0</v>
      </c>
      <c r="Q197" s="30">
        <v>-2000</v>
      </c>
      <c r="R197" s="29">
        <v>2000</v>
      </c>
      <c r="T197" s="29">
        <v>0</v>
      </c>
      <c r="U197" s="30">
        <f t="shared" ref="U197:U199" si="107">-V197+T197</f>
        <v>-100</v>
      </c>
      <c r="V197" s="29">
        <v>100</v>
      </c>
    </row>
    <row r="198" spans="1:22">
      <c r="A198" s="36" t="s">
        <v>387</v>
      </c>
      <c r="B198" s="37" t="s">
        <v>388</v>
      </c>
      <c r="C198" s="32" t="s">
        <v>389</v>
      </c>
      <c r="D198" s="29">
        <v>0</v>
      </c>
      <c r="E198" s="30">
        <f t="shared" si="104"/>
        <v>-1000</v>
      </c>
      <c r="F198" s="29">
        <v>1000</v>
      </c>
      <c r="G198" s="85"/>
      <c r="H198" s="29">
        <v>0</v>
      </c>
      <c r="I198" s="30">
        <f t="shared" si="105"/>
        <v>-900</v>
      </c>
      <c r="J198" s="29">
        <v>900</v>
      </c>
      <c r="L198" s="29">
        <v>0</v>
      </c>
      <c r="M198" s="30">
        <f t="shared" si="106"/>
        <v>-900</v>
      </c>
      <c r="N198" s="29">
        <v>900</v>
      </c>
      <c r="P198" s="29">
        <v>0</v>
      </c>
      <c r="Q198" s="30">
        <v>-900</v>
      </c>
      <c r="R198" s="29">
        <v>900</v>
      </c>
      <c r="T198" s="29">
        <v>0</v>
      </c>
      <c r="U198" s="30">
        <f t="shared" si="107"/>
        <v>-900</v>
      </c>
      <c r="V198" s="29">
        <v>900</v>
      </c>
    </row>
    <row r="199" spans="1:22">
      <c r="A199" s="36" t="s">
        <v>390</v>
      </c>
      <c r="B199" s="37" t="s">
        <v>391</v>
      </c>
      <c r="C199" s="32" t="s">
        <v>392</v>
      </c>
      <c r="D199" s="29">
        <v>0</v>
      </c>
      <c r="E199" s="30">
        <f t="shared" si="104"/>
        <v>-25000</v>
      </c>
      <c r="F199" s="29">
        <v>25000</v>
      </c>
      <c r="H199" s="29">
        <v>0</v>
      </c>
      <c r="I199" s="30">
        <f t="shared" si="105"/>
        <v>-15000</v>
      </c>
      <c r="J199" s="29">
        <v>15000</v>
      </c>
      <c r="L199" s="29">
        <v>0</v>
      </c>
      <c r="M199" s="30">
        <f t="shared" si="106"/>
        <v>-15000</v>
      </c>
      <c r="N199" s="29">
        <v>15000</v>
      </c>
      <c r="P199" s="29">
        <v>0</v>
      </c>
      <c r="Q199" s="30">
        <v>-23000</v>
      </c>
      <c r="R199" s="29">
        <v>23000</v>
      </c>
      <c r="T199" s="29">
        <v>0</v>
      </c>
      <c r="U199" s="30">
        <f t="shared" si="107"/>
        <v>-23000</v>
      </c>
      <c r="V199" s="29">
        <v>23000</v>
      </c>
    </row>
    <row r="200" spans="1:22">
      <c r="A200" s="39" t="s">
        <v>393</v>
      </c>
      <c r="B200" s="40"/>
      <c r="C200" s="20" t="s">
        <v>394</v>
      </c>
      <c r="D200" s="65">
        <f>SUM(D201:D204)</f>
        <v>0</v>
      </c>
      <c r="E200" s="22">
        <f>SUM(E201:E204)</f>
        <v>-35500</v>
      </c>
      <c r="F200" s="65">
        <f>SUM(F201:F204)</f>
        <v>35500</v>
      </c>
      <c r="H200" s="65">
        <f>SUM(H201:H204)</f>
        <v>0</v>
      </c>
      <c r="I200" s="22">
        <f>SUM(I201:I204)</f>
        <v>-21500</v>
      </c>
      <c r="J200" s="65">
        <f>SUM(J201:J204)</f>
        <v>21500</v>
      </c>
      <c r="L200" s="65">
        <f>SUM(L201:L204)</f>
        <v>0</v>
      </c>
      <c r="M200" s="22">
        <f>SUM(M201:M204)</f>
        <v>-21500</v>
      </c>
      <c r="N200" s="65">
        <f>SUM(N201:N204)</f>
        <v>21500</v>
      </c>
      <c r="P200" s="65">
        <v>0</v>
      </c>
      <c r="Q200" s="22">
        <v>-21500</v>
      </c>
      <c r="R200" s="65">
        <v>21500</v>
      </c>
      <c r="T200" s="65">
        <f>SUM(T201:T204)</f>
        <v>0</v>
      </c>
      <c r="U200" s="22">
        <f>SUM(U201:U204)</f>
        <v>-21500</v>
      </c>
      <c r="V200" s="65">
        <f>SUM(V201:V204)</f>
        <v>21500</v>
      </c>
    </row>
    <row r="201" spans="1:22">
      <c r="A201" s="36" t="s">
        <v>395</v>
      </c>
      <c r="B201" s="37" t="s">
        <v>396</v>
      </c>
      <c r="C201" s="32" t="s">
        <v>397</v>
      </c>
      <c r="D201" s="29">
        <v>0</v>
      </c>
      <c r="E201" s="30">
        <f t="shared" ref="E201:E204" si="108">-F201+D201</f>
        <v>-3500</v>
      </c>
      <c r="F201" s="29">
        <v>3500</v>
      </c>
      <c r="G201" s="85"/>
      <c r="H201" s="29">
        <v>0</v>
      </c>
      <c r="I201" s="30">
        <f t="shared" ref="I201:I204" si="109">-J201+H201</f>
        <v>-1500</v>
      </c>
      <c r="J201" s="29">
        <v>1500</v>
      </c>
      <c r="L201" s="29">
        <v>0</v>
      </c>
      <c r="M201" s="30">
        <f t="shared" ref="M201:M204" si="110">-N201+L201</f>
        <v>-1500</v>
      </c>
      <c r="N201" s="29">
        <v>1500</v>
      </c>
      <c r="P201" s="29">
        <v>0</v>
      </c>
      <c r="Q201" s="30">
        <v>-1500</v>
      </c>
      <c r="R201" s="29">
        <v>1500</v>
      </c>
      <c r="T201" s="29">
        <v>0</v>
      </c>
      <c r="U201" s="30">
        <f t="shared" ref="U201:U204" si="111">-V201+T201</f>
        <v>-1500</v>
      </c>
      <c r="V201" s="29">
        <v>1500</v>
      </c>
    </row>
    <row r="202" spans="1:22">
      <c r="A202" s="36"/>
      <c r="B202" s="37" t="s">
        <v>398</v>
      </c>
      <c r="C202" s="32" t="s">
        <v>399</v>
      </c>
      <c r="D202" s="29">
        <v>0</v>
      </c>
      <c r="E202" s="30">
        <f t="shared" si="108"/>
        <v>-15000</v>
      </c>
      <c r="F202" s="29">
        <v>15000</v>
      </c>
      <c r="G202" s="85"/>
      <c r="H202" s="29">
        <v>0</v>
      </c>
      <c r="I202" s="30">
        <f t="shared" si="109"/>
        <v>-10000</v>
      </c>
      <c r="J202" s="29">
        <v>10000</v>
      </c>
      <c r="L202" s="29">
        <v>0</v>
      </c>
      <c r="M202" s="30">
        <f t="shared" si="110"/>
        <v>-10000</v>
      </c>
      <c r="N202" s="29">
        <v>10000</v>
      </c>
      <c r="P202" s="29">
        <v>0</v>
      </c>
      <c r="Q202" s="30">
        <v>-10000</v>
      </c>
      <c r="R202" s="29">
        <v>10000</v>
      </c>
      <c r="T202" s="29">
        <v>0</v>
      </c>
      <c r="U202" s="30">
        <f t="shared" si="111"/>
        <v>-10000</v>
      </c>
      <c r="V202" s="29">
        <v>10000</v>
      </c>
    </row>
    <row r="203" spans="1:22">
      <c r="A203" s="36"/>
      <c r="B203" s="37" t="s">
        <v>400</v>
      </c>
      <c r="C203" s="32" t="s">
        <v>401</v>
      </c>
      <c r="D203" s="29">
        <v>0</v>
      </c>
      <c r="E203" s="30">
        <f t="shared" si="108"/>
        <v>-12000</v>
      </c>
      <c r="F203" s="29">
        <v>12000</v>
      </c>
      <c r="G203" s="85"/>
      <c r="H203" s="29">
        <v>0</v>
      </c>
      <c r="I203" s="30">
        <f t="shared" si="109"/>
        <v>-7500</v>
      </c>
      <c r="J203" s="29">
        <v>7500</v>
      </c>
      <c r="L203" s="29">
        <v>0</v>
      </c>
      <c r="M203" s="30">
        <f t="shared" si="110"/>
        <v>-7500</v>
      </c>
      <c r="N203" s="29">
        <v>7500</v>
      </c>
      <c r="P203" s="29">
        <v>0</v>
      </c>
      <c r="Q203" s="30">
        <v>-7500</v>
      </c>
      <c r="R203" s="29">
        <v>7500</v>
      </c>
      <c r="T203" s="29">
        <v>0</v>
      </c>
      <c r="U203" s="30">
        <f t="shared" si="111"/>
        <v>-7500</v>
      </c>
      <c r="V203" s="29">
        <v>7500</v>
      </c>
    </row>
    <row r="204" spans="1:22">
      <c r="A204" s="36" t="s">
        <v>402</v>
      </c>
      <c r="B204" s="37" t="s">
        <v>403</v>
      </c>
      <c r="C204" s="32" t="s">
        <v>404</v>
      </c>
      <c r="D204" s="29">
        <v>0</v>
      </c>
      <c r="E204" s="30">
        <f t="shared" si="108"/>
        <v>-5000</v>
      </c>
      <c r="F204" s="29">
        <v>5000</v>
      </c>
      <c r="G204" s="85"/>
      <c r="H204" s="29">
        <v>0</v>
      </c>
      <c r="I204" s="30">
        <f t="shared" si="109"/>
        <v>-2500</v>
      </c>
      <c r="J204" s="29">
        <v>2500</v>
      </c>
      <c r="L204" s="29">
        <v>0</v>
      </c>
      <c r="M204" s="30">
        <f t="shared" si="110"/>
        <v>-2500</v>
      </c>
      <c r="N204" s="29">
        <v>2500</v>
      </c>
      <c r="P204" s="29">
        <v>0</v>
      </c>
      <c r="Q204" s="30">
        <v>-2500</v>
      </c>
      <c r="R204" s="29">
        <v>2500</v>
      </c>
      <c r="T204" s="29">
        <v>0</v>
      </c>
      <c r="U204" s="30">
        <f t="shared" si="111"/>
        <v>-2500</v>
      </c>
      <c r="V204" s="29">
        <v>2500</v>
      </c>
    </row>
    <row r="205" spans="1:22">
      <c r="A205" s="39" t="s">
        <v>405</v>
      </c>
      <c r="B205" s="40"/>
      <c r="C205" s="20" t="s">
        <v>406</v>
      </c>
      <c r="D205" s="65">
        <f>SUM(D206:D210)</f>
        <v>0</v>
      </c>
      <c r="E205" s="22">
        <f>SUM(E206:E210)</f>
        <v>-23000</v>
      </c>
      <c r="F205" s="65">
        <f>SUM(F206:F210)</f>
        <v>23000</v>
      </c>
      <c r="H205" s="65">
        <f>SUM(H206:H210)</f>
        <v>0</v>
      </c>
      <c r="I205" s="22">
        <f>SUM(I206:I210)</f>
        <v>-11000</v>
      </c>
      <c r="J205" s="65">
        <f>SUM(J206:J210)</f>
        <v>11000</v>
      </c>
      <c r="L205" s="65">
        <f>SUM(L206:L210)</f>
        <v>0</v>
      </c>
      <c r="M205" s="22">
        <f>SUM(M206:M210)</f>
        <v>-11000</v>
      </c>
      <c r="N205" s="65">
        <f>SUM(N206:N210)</f>
        <v>11000</v>
      </c>
      <c r="P205" s="65">
        <v>0</v>
      </c>
      <c r="Q205" s="22">
        <v>-28000</v>
      </c>
      <c r="R205" s="65">
        <v>28000</v>
      </c>
      <c r="T205" s="65">
        <f>SUM(T206:T210)</f>
        <v>0</v>
      </c>
      <c r="U205" s="22">
        <f>SUM(U206:U210)</f>
        <v>-28000</v>
      </c>
      <c r="V205" s="65">
        <f>SUM(V206:V210)</f>
        <v>28000</v>
      </c>
    </row>
    <row r="206" spans="1:22">
      <c r="A206" s="36" t="s">
        <v>407</v>
      </c>
      <c r="B206" s="37" t="s">
        <v>408</v>
      </c>
      <c r="C206" s="32" t="s">
        <v>409</v>
      </c>
      <c r="D206" s="29">
        <v>0</v>
      </c>
      <c r="E206" s="30">
        <f t="shared" ref="E206:E210" si="112">-F206+D206</f>
        <v>0</v>
      </c>
      <c r="F206" s="29">
        <v>0</v>
      </c>
      <c r="H206" s="29">
        <v>0</v>
      </c>
      <c r="I206" s="30">
        <f t="shared" ref="I206:I210" si="113">-J206+H206</f>
        <v>0</v>
      </c>
      <c r="J206" s="29">
        <v>0</v>
      </c>
      <c r="L206" s="29">
        <v>0</v>
      </c>
      <c r="M206" s="30">
        <f t="shared" ref="M206:M210" si="114">-N206+L206</f>
        <v>0</v>
      </c>
      <c r="N206" s="29">
        <v>0</v>
      </c>
      <c r="P206" s="29">
        <v>0</v>
      </c>
      <c r="Q206" s="30">
        <v>0</v>
      </c>
      <c r="R206" s="29">
        <v>0</v>
      </c>
      <c r="T206" s="29">
        <v>0</v>
      </c>
      <c r="U206" s="30">
        <f t="shared" ref="U206:U210" si="115">-V206+T206</f>
        <v>0</v>
      </c>
      <c r="V206" s="29">
        <v>0</v>
      </c>
    </row>
    <row r="207" spans="1:22">
      <c r="A207" s="36"/>
      <c r="B207" s="37" t="s">
        <v>410</v>
      </c>
      <c r="C207" s="32" t="s">
        <v>411</v>
      </c>
      <c r="D207" s="29">
        <v>0</v>
      </c>
      <c r="E207" s="30">
        <f t="shared" si="112"/>
        <v>-10000</v>
      </c>
      <c r="F207" s="29">
        <v>10000</v>
      </c>
      <c r="H207" s="29">
        <v>0</v>
      </c>
      <c r="I207" s="30">
        <f t="shared" si="113"/>
        <v>-4000</v>
      </c>
      <c r="J207" s="29">
        <v>4000</v>
      </c>
      <c r="L207" s="29">
        <v>0</v>
      </c>
      <c r="M207" s="30">
        <f t="shared" si="114"/>
        <v>-4000</v>
      </c>
      <c r="N207" s="29">
        <v>4000</v>
      </c>
      <c r="P207" s="29">
        <v>0</v>
      </c>
      <c r="Q207" s="30">
        <v>-16000</v>
      </c>
      <c r="R207" s="29">
        <v>16000</v>
      </c>
      <c r="T207" s="29">
        <v>0</v>
      </c>
      <c r="U207" s="30">
        <f t="shared" si="115"/>
        <v>-16000</v>
      </c>
      <c r="V207" s="29">
        <v>16000</v>
      </c>
    </row>
    <row r="208" spans="1:22">
      <c r="A208" s="36" t="s">
        <v>412</v>
      </c>
      <c r="B208" s="37" t="s">
        <v>413</v>
      </c>
      <c r="C208" s="32" t="s">
        <v>414</v>
      </c>
      <c r="D208" s="29">
        <v>0</v>
      </c>
      <c r="E208" s="30">
        <f t="shared" si="112"/>
        <v>-1500</v>
      </c>
      <c r="F208" s="29">
        <v>1500</v>
      </c>
      <c r="H208" s="29">
        <v>0</v>
      </c>
      <c r="I208" s="30">
        <f t="shared" si="113"/>
        <v>-1000</v>
      </c>
      <c r="J208" s="29">
        <v>1000</v>
      </c>
      <c r="L208" s="29">
        <v>0</v>
      </c>
      <c r="M208" s="30">
        <f t="shared" si="114"/>
        <v>-1000</v>
      </c>
      <c r="N208" s="29">
        <v>1000</v>
      </c>
      <c r="P208" s="29">
        <v>0</v>
      </c>
      <c r="Q208" s="30">
        <v>-1000</v>
      </c>
      <c r="R208" s="29">
        <v>1000</v>
      </c>
      <c r="T208" s="29">
        <v>0</v>
      </c>
      <c r="U208" s="30">
        <f t="shared" si="115"/>
        <v>-1000</v>
      </c>
      <c r="V208" s="29">
        <v>1000</v>
      </c>
    </row>
    <row r="209" spans="1:22">
      <c r="A209" s="36"/>
      <c r="B209" s="37" t="s">
        <v>415</v>
      </c>
      <c r="C209" s="32" t="s">
        <v>416</v>
      </c>
      <c r="D209" s="29">
        <v>0</v>
      </c>
      <c r="E209" s="30">
        <f t="shared" si="112"/>
        <v>-1500</v>
      </c>
      <c r="F209" s="29">
        <v>1500</v>
      </c>
      <c r="H209" s="29">
        <v>0</v>
      </c>
      <c r="I209" s="30">
        <f t="shared" si="113"/>
        <v>-1000</v>
      </c>
      <c r="J209" s="29">
        <v>1000</v>
      </c>
      <c r="L209" s="29">
        <v>0</v>
      </c>
      <c r="M209" s="30">
        <f t="shared" si="114"/>
        <v>-1000</v>
      </c>
      <c r="N209" s="29">
        <v>1000</v>
      </c>
      <c r="P209" s="29">
        <v>0</v>
      </c>
      <c r="Q209" s="30">
        <v>-1000</v>
      </c>
      <c r="R209" s="29">
        <v>1000</v>
      </c>
      <c r="T209" s="29">
        <v>0</v>
      </c>
      <c r="U209" s="30">
        <f t="shared" si="115"/>
        <v>-1000</v>
      </c>
      <c r="V209" s="29">
        <v>1000</v>
      </c>
    </row>
    <row r="210" spans="1:22">
      <c r="A210" s="36" t="s">
        <v>417</v>
      </c>
      <c r="B210" s="37" t="s">
        <v>418</v>
      </c>
      <c r="C210" s="32" t="s">
        <v>419</v>
      </c>
      <c r="D210" s="29">
        <v>0</v>
      </c>
      <c r="E210" s="30">
        <f t="shared" si="112"/>
        <v>-10000</v>
      </c>
      <c r="F210" s="29">
        <v>10000</v>
      </c>
      <c r="H210" s="29">
        <v>0</v>
      </c>
      <c r="I210" s="30">
        <f t="shared" si="113"/>
        <v>-5000</v>
      </c>
      <c r="J210" s="29">
        <v>5000</v>
      </c>
      <c r="L210" s="29">
        <v>0</v>
      </c>
      <c r="M210" s="30">
        <f t="shared" si="114"/>
        <v>-5000</v>
      </c>
      <c r="N210" s="29">
        <v>5000</v>
      </c>
      <c r="P210" s="29">
        <v>0</v>
      </c>
      <c r="Q210" s="30">
        <v>-10000</v>
      </c>
      <c r="R210" s="29">
        <v>10000</v>
      </c>
      <c r="T210" s="29">
        <v>0</v>
      </c>
      <c r="U210" s="30">
        <f t="shared" si="115"/>
        <v>-10000</v>
      </c>
      <c r="V210" s="29">
        <v>10000</v>
      </c>
    </row>
    <row r="211" spans="1:22">
      <c r="A211" s="39" t="s">
        <v>420</v>
      </c>
      <c r="B211" s="40"/>
      <c r="C211" s="20" t="s">
        <v>421</v>
      </c>
      <c r="D211" s="65">
        <f>SUM(D212:D213)</f>
        <v>0</v>
      </c>
      <c r="E211" s="22">
        <f>SUM(E212:E213)</f>
        <v>-75000</v>
      </c>
      <c r="F211" s="65">
        <f>SUM(F212:F213)</f>
        <v>75000</v>
      </c>
      <c r="H211" s="65">
        <f>SUM(H212:H213)</f>
        <v>0</v>
      </c>
      <c r="I211" s="22">
        <f>SUM(I212:I213)</f>
        <v>-55000</v>
      </c>
      <c r="J211" s="65">
        <f>SUM(J212:J213)</f>
        <v>55000</v>
      </c>
      <c r="L211" s="65">
        <f>SUM(L212:L213)</f>
        <v>0</v>
      </c>
      <c r="M211" s="22">
        <f>SUM(M212:M213)</f>
        <v>-55000</v>
      </c>
      <c r="N211" s="65">
        <f>SUM(N212:N213)</f>
        <v>55000</v>
      </c>
      <c r="P211" s="65">
        <v>0</v>
      </c>
      <c r="Q211" s="22">
        <v>-65000</v>
      </c>
      <c r="R211" s="65">
        <v>65000</v>
      </c>
      <c r="T211" s="65">
        <f>SUM(T212:T213)</f>
        <v>0</v>
      </c>
      <c r="U211" s="22">
        <f>SUM(U212:U213)</f>
        <v>-65000</v>
      </c>
      <c r="V211" s="65">
        <f>SUM(V212:V213)</f>
        <v>65000</v>
      </c>
    </row>
    <row r="212" spans="1:22">
      <c r="A212" s="36" t="s">
        <v>422</v>
      </c>
      <c r="B212" s="37" t="s">
        <v>423</v>
      </c>
      <c r="C212" s="32" t="s">
        <v>424</v>
      </c>
      <c r="D212" s="29">
        <v>0</v>
      </c>
      <c r="E212" s="30">
        <f t="shared" ref="E212:E213" si="116">-F212+D212</f>
        <v>-25000</v>
      </c>
      <c r="F212" s="29">
        <v>25000</v>
      </c>
      <c r="G212" s="85"/>
      <c r="H212" s="29">
        <v>0</v>
      </c>
      <c r="I212" s="30">
        <f t="shared" ref="I212:I213" si="117">-J212+H212</f>
        <v>-15000</v>
      </c>
      <c r="J212" s="29">
        <v>15000</v>
      </c>
      <c r="L212" s="29">
        <v>0</v>
      </c>
      <c r="M212" s="30">
        <f t="shared" ref="M212:M213" si="118">-N212+L212</f>
        <v>-15000</v>
      </c>
      <c r="N212" s="29">
        <v>15000</v>
      </c>
      <c r="P212" s="29">
        <v>0</v>
      </c>
      <c r="Q212" s="30">
        <v>-15000</v>
      </c>
      <c r="R212" s="29">
        <v>15000</v>
      </c>
      <c r="T212" s="29">
        <v>0</v>
      </c>
      <c r="U212" s="30">
        <f t="shared" ref="U212:U213" si="119">-V212+T212</f>
        <v>-15000</v>
      </c>
      <c r="V212" s="29">
        <v>15000</v>
      </c>
    </row>
    <row r="213" spans="1:22">
      <c r="A213" s="36" t="s">
        <v>425</v>
      </c>
      <c r="B213" s="37" t="s">
        <v>426</v>
      </c>
      <c r="C213" s="32" t="s">
        <v>427</v>
      </c>
      <c r="D213" s="29">
        <v>0</v>
      </c>
      <c r="E213" s="30">
        <f t="shared" si="116"/>
        <v>-50000</v>
      </c>
      <c r="F213" s="29">
        <v>50000</v>
      </c>
      <c r="H213" s="29">
        <v>0</v>
      </c>
      <c r="I213" s="30">
        <f t="shared" si="117"/>
        <v>-40000</v>
      </c>
      <c r="J213" s="29">
        <v>40000</v>
      </c>
      <c r="L213" s="29">
        <v>0</v>
      </c>
      <c r="M213" s="30">
        <f t="shared" si="118"/>
        <v>-40000</v>
      </c>
      <c r="N213" s="29">
        <v>40000</v>
      </c>
      <c r="P213" s="29">
        <v>0</v>
      </c>
      <c r="Q213" s="30">
        <v>-50000</v>
      </c>
      <c r="R213" s="29">
        <v>50000</v>
      </c>
      <c r="T213" s="29">
        <v>0</v>
      </c>
      <c r="U213" s="30">
        <f t="shared" si="119"/>
        <v>-50000</v>
      </c>
      <c r="V213" s="29">
        <v>50000</v>
      </c>
    </row>
    <row r="214" spans="1:22">
      <c r="A214" s="39" t="s">
        <v>428</v>
      </c>
      <c r="B214" s="40"/>
      <c r="C214" s="20" t="s">
        <v>429</v>
      </c>
      <c r="D214" s="65">
        <f>SUM(D215:D219)</f>
        <v>0</v>
      </c>
      <c r="E214" s="22">
        <f>SUM(E215:E219)</f>
        <v>-53010</v>
      </c>
      <c r="F214" s="65">
        <f>SUM(F215:F219)</f>
        <v>53010</v>
      </c>
      <c r="H214" s="65">
        <f>SUM(H215:H219)</f>
        <v>0</v>
      </c>
      <c r="I214" s="22">
        <f>SUM(I215:I219)</f>
        <v>-51510</v>
      </c>
      <c r="J214" s="65">
        <f>SUM(J215:J219)</f>
        <v>51510</v>
      </c>
      <c r="L214" s="65">
        <f>SUM(L215:L219)</f>
        <v>25200</v>
      </c>
      <c r="M214" s="22">
        <f>SUM(M215:M219)</f>
        <v>-50310</v>
      </c>
      <c r="N214" s="65">
        <f>SUM(N215:N219)</f>
        <v>75510</v>
      </c>
      <c r="P214" s="65">
        <v>0</v>
      </c>
      <c r="Q214" s="22">
        <v>-81010</v>
      </c>
      <c r="R214" s="65">
        <v>81010</v>
      </c>
      <c r="T214" s="65">
        <f>SUM(T215:T219)</f>
        <v>0</v>
      </c>
      <c r="U214" s="22">
        <f>SUM(U215:U219)</f>
        <v>-66010</v>
      </c>
      <c r="V214" s="65">
        <f>SUM(V215:V219)</f>
        <v>66010</v>
      </c>
    </row>
    <row r="215" spans="1:22">
      <c r="A215" s="36" t="s">
        <v>430</v>
      </c>
      <c r="B215" s="37" t="s">
        <v>431</v>
      </c>
      <c r="C215" s="32" t="s">
        <v>432</v>
      </c>
      <c r="D215" s="29">
        <v>0</v>
      </c>
      <c r="E215" s="30">
        <f t="shared" ref="E215:E219" si="120">-F215+D215</f>
        <v>-18000</v>
      </c>
      <c r="F215" s="29">
        <v>18000</v>
      </c>
      <c r="H215" s="29">
        <v>0</v>
      </c>
      <c r="I215" s="30">
        <f t="shared" ref="I215:I219" si="121">-J215+H215</f>
        <v>-18000</v>
      </c>
      <c r="J215" s="29">
        <v>18000</v>
      </c>
      <c r="L215" s="29">
        <v>0</v>
      </c>
      <c r="M215" s="30">
        <f t="shared" ref="M215:M219" si="122">-N215+L215</f>
        <v>-18000</v>
      </c>
      <c r="N215" s="29">
        <v>18000</v>
      </c>
      <c r="P215" s="29">
        <v>0</v>
      </c>
      <c r="Q215" s="30">
        <v>-20000</v>
      </c>
      <c r="R215" s="29">
        <v>20000</v>
      </c>
      <c r="T215" s="29">
        <v>0</v>
      </c>
      <c r="U215" s="30">
        <f t="shared" ref="U215:U219" si="123">-V215+T215</f>
        <v>-20000</v>
      </c>
      <c r="V215" s="29">
        <v>20000</v>
      </c>
    </row>
    <row r="216" spans="1:22">
      <c r="A216" s="36" t="s">
        <v>433</v>
      </c>
      <c r="B216" s="37" t="s">
        <v>434</v>
      </c>
      <c r="C216" s="32" t="s">
        <v>270</v>
      </c>
      <c r="D216" s="29">
        <v>0</v>
      </c>
      <c r="E216" s="30">
        <f t="shared" si="120"/>
        <v>-2500</v>
      </c>
      <c r="F216" s="29">
        <v>2500</v>
      </c>
      <c r="H216" s="29">
        <v>0</v>
      </c>
      <c r="I216" s="30">
        <f t="shared" si="121"/>
        <v>-2500</v>
      </c>
      <c r="J216" s="29">
        <v>2500</v>
      </c>
      <c r="L216" s="29">
        <v>0</v>
      </c>
      <c r="M216" s="30">
        <f t="shared" si="122"/>
        <v>-2500</v>
      </c>
      <c r="N216" s="29">
        <v>2500</v>
      </c>
      <c r="P216" s="29">
        <v>0</v>
      </c>
      <c r="Q216" s="30">
        <v>-5000</v>
      </c>
      <c r="R216" s="29">
        <v>5000</v>
      </c>
      <c r="T216" s="29">
        <v>0</v>
      </c>
      <c r="U216" s="30">
        <f t="shared" si="123"/>
        <v>-5000</v>
      </c>
      <c r="V216" s="29">
        <v>5000</v>
      </c>
    </row>
    <row r="217" spans="1:22">
      <c r="A217" s="36" t="s">
        <v>435</v>
      </c>
      <c r="B217" s="37" t="s">
        <v>436</v>
      </c>
      <c r="C217" s="32" t="s">
        <v>437</v>
      </c>
      <c r="D217" s="29">
        <v>0</v>
      </c>
      <c r="E217" s="30">
        <f t="shared" si="120"/>
        <v>-12010</v>
      </c>
      <c r="F217" s="29">
        <v>12010</v>
      </c>
      <c r="H217" s="29">
        <v>0</v>
      </c>
      <c r="I217" s="30">
        <f t="shared" si="121"/>
        <v>-12010</v>
      </c>
      <c r="J217" s="29">
        <f>36010-24000</f>
        <v>12010</v>
      </c>
      <c r="L217" s="29">
        <f>N3*0.8</f>
        <v>25200</v>
      </c>
      <c r="M217" s="30">
        <f t="shared" si="122"/>
        <v>-10810</v>
      </c>
      <c r="N217" s="29">
        <v>36010</v>
      </c>
      <c r="P217" s="29">
        <v>0</v>
      </c>
      <c r="Q217" s="30">
        <v>-36010</v>
      </c>
      <c r="R217" s="29">
        <v>36010</v>
      </c>
      <c r="T217" s="29">
        <v>0</v>
      </c>
      <c r="U217" s="30">
        <f t="shared" si="123"/>
        <v>-21010</v>
      </c>
      <c r="V217" s="29">
        <v>21010</v>
      </c>
    </row>
    <row r="218" spans="1:22">
      <c r="A218" s="36" t="s">
        <v>438</v>
      </c>
      <c r="B218" s="37" t="s">
        <v>439</v>
      </c>
      <c r="C218" s="32" t="s">
        <v>440</v>
      </c>
      <c r="D218" s="29">
        <v>0</v>
      </c>
      <c r="E218" s="30">
        <f t="shared" si="120"/>
        <v>-5500</v>
      </c>
      <c r="F218" s="29">
        <v>5500</v>
      </c>
      <c r="H218" s="29">
        <v>0</v>
      </c>
      <c r="I218" s="30">
        <f t="shared" si="121"/>
        <v>-4000</v>
      </c>
      <c r="J218" s="29">
        <v>4000</v>
      </c>
      <c r="L218" s="29">
        <v>0</v>
      </c>
      <c r="M218" s="30">
        <f t="shared" si="122"/>
        <v>-4000</v>
      </c>
      <c r="N218" s="29">
        <v>4000</v>
      </c>
      <c r="P218" s="29">
        <v>0</v>
      </c>
      <c r="Q218" s="30">
        <v>-5000</v>
      </c>
      <c r="R218" s="29">
        <v>5000</v>
      </c>
      <c r="T218" s="29">
        <v>0</v>
      </c>
      <c r="U218" s="30">
        <f t="shared" si="123"/>
        <v>-5000</v>
      </c>
      <c r="V218" s="29">
        <v>5000</v>
      </c>
    </row>
    <row r="219" spans="1:22">
      <c r="A219" s="36" t="s">
        <v>441</v>
      </c>
      <c r="B219" s="37" t="s">
        <v>442</v>
      </c>
      <c r="C219" s="32" t="s">
        <v>443</v>
      </c>
      <c r="D219" s="29">
        <v>0</v>
      </c>
      <c r="E219" s="30">
        <f t="shared" si="120"/>
        <v>-15000</v>
      </c>
      <c r="F219" s="29">
        <v>15000</v>
      </c>
      <c r="H219" s="29">
        <v>0</v>
      </c>
      <c r="I219" s="30">
        <f t="shared" si="121"/>
        <v>-15000</v>
      </c>
      <c r="J219" s="29">
        <v>15000</v>
      </c>
      <c r="L219" s="29">
        <v>0</v>
      </c>
      <c r="M219" s="30">
        <f t="shared" si="122"/>
        <v>-15000</v>
      </c>
      <c r="N219" s="29">
        <v>15000</v>
      </c>
      <c r="P219" s="29">
        <v>0</v>
      </c>
      <c r="Q219" s="30">
        <v>-15000</v>
      </c>
      <c r="R219" s="29">
        <v>15000</v>
      </c>
      <c r="T219" s="29">
        <v>0</v>
      </c>
      <c r="U219" s="30">
        <f t="shared" si="123"/>
        <v>-15000</v>
      </c>
      <c r="V219" s="29">
        <v>15000</v>
      </c>
    </row>
    <row r="220" spans="1:22">
      <c r="A220" s="39" t="s">
        <v>444</v>
      </c>
      <c r="B220" s="40"/>
      <c r="C220" s="20" t="s">
        <v>445</v>
      </c>
      <c r="D220" s="65">
        <f>SUM(D221:D221)</f>
        <v>0</v>
      </c>
      <c r="E220" s="22">
        <f>SUM(E221:E221)</f>
        <v>-15000</v>
      </c>
      <c r="F220" s="65">
        <f>SUM(F221:F221)</f>
        <v>15000</v>
      </c>
      <c r="H220" s="65">
        <f>SUM(H221:H221)</f>
        <v>0</v>
      </c>
      <c r="I220" s="22">
        <f>SUM(I221:I221)</f>
        <v>-10000</v>
      </c>
      <c r="J220" s="65">
        <f>SUM(J221:J221)</f>
        <v>10000</v>
      </c>
      <c r="L220" s="65">
        <f>SUM(L221:L221)</f>
        <v>0</v>
      </c>
      <c r="M220" s="22">
        <f>SUM(M221:M221)</f>
        <v>-13000</v>
      </c>
      <c r="N220" s="65">
        <f>SUM(N221:N221)</f>
        <v>13000</v>
      </c>
      <c r="P220" s="65">
        <v>0</v>
      </c>
      <c r="Q220" s="22">
        <v>-15000</v>
      </c>
      <c r="R220" s="65">
        <v>15000</v>
      </c>
      <c r="T220" s="65">
        <f>SUM(T221:T221)</f>
        <v>0</v>
      </c>
      <c r="U220" s="22">
        <f>SUM(U221:U221)</f>
        <v>-15000</v>
      </c>
      <c r="V220" s="65">
        <f>SUM(V221:V221)</f>
        <v>15000</v>
      </c>
    </row>
    <row r="221" spans="1:22">
      <c r="A221" s="36" t="s">
        <v>446</v>
      </c>
      <c r="B221" s="37" t="s">
        <v>447</v>
      </c>
      <c r="C221" s="32" t="s">
        <v>445</v>
      </c>
      <c r="D221" s="29">
        <v>0</v>
      </c>
      <c r="E221" s="30">
        <f>-F221+D221</f>
        <v>-15000</v>
      </c>
      <c r="F221" s="29">
        <v>15000</v>
      </c>
      <c r="G221" s="85"/>
      <c r="H221" s="29">
        <v>0</v>
      </c>
      <c r="I221" s="30">
        <f>-J221+H221</f>
        <v>-10000</v>
      </c>
      <c r="J221" s="29">
        <v>10000</v>
      </c>
      <c r="K221" s="23"/>
      <c r="L221" s="29">
        <v>0</v>
      </c>
      <c r="M221" s="30">
        <f>-N221+L221</f>
        <v>-13000</v>
      </c>
      <c r="N221" s="29">
        <v>13000</v>
      </c>
      <c r="P221" s="29">
        <v>0</v>
      </c>
      <c r="Q221" s="30">
        <v>-15000</v>
      </c>
      <c r="R221" s="29">
        <v>15000</v>
      </c>
      <c r="T221" s="29">
        <v>0</v>
      </c>
      <c r="U221" s="30">
        <f>-V221+T221</f>
        <v>-15000</v>
      </c>
      <c r="V221" s="29">
        <v>15000</v>
      </c>
    </row>
    <row r="222" spans="1:22">
      <c r="A222" s="39" t="s">
        <v>448</v>
      </c>
      <c r="B222" s="40"/>
      <c r="C222" s="20" t="s">
        <v>449</v>
      </c>
      <c r="D222" s="65">
        <f>SUM(D223:D223)</f>
        <v>0</v>
      </c>
      <c r="E222" s="22">
        <f>SUM(E223:E223)</f>
        <v>-25000</v>
      </c>
      <c r="F222" s="65">
        <f>SUM(F223:F223)</f>
        <v>25000</v>
      </c>
      <c r="H222" s="65">
        <f>SUM(H223:H223)</f>
        <v>0</v>
      </c>
      <c r="I222" s="22">
        <f>SUM(I223:I223)</f>
        <v>-22000</v>
      </c>
      <c r="J222" s="65">
        <f>SUM(J223:J223)</f>
        <v>22000</v>
      </c>
      <c r="L222" s="65">
        <f>SUM(L223:L223)</f>
        <v>0</v>
      </c>
      <c r="M222" s="22">
        <f>SUM(M223:M223)</f>
        <v>-22000</v>
      </c>
      <c r="N222" s="65">
        <f>SUM(N223:N223)</f>
        <v>22000</v>
      </c>
      <c r="P222" s="65">
        <v>0</v>
      </c>
      <c r="Q222" s="22">
        <v>-25000</v>
      </c>
      <c r="R222" s="65">
        <v>25000</v>
      </c>
      <c r="T222" s="65">
        <f>SUM(T223:T223)</f>
        <v>0</v>
      </c>
      <c r="U222" s="22">
        <f>SUM(U223:U223)</f>
        <v>-25000</v>
      </c>
      <c r="V222" s="65">
        <f>SUM(V223:V223)</f>
        <v>25000</v>
      </c>
    </row>
    <row r="223" spans="1:22">
      <c r="A223" s="36" t="s">
        <v>450</v>
      </c>
      <c r="B223" s="37" t="s">
        <v>451</v>
      </c>
      <c r="C223" s="32" t="s">
        <v>449</v>
      </c>
      <c r="D223" s="29">
        <v>0</v>
      </c>
      <c r="E223" s="30">
        <f>-F223+D223</f>
        <v>-25000</v>
      </c>
      <c r="F223" s="29">
        <v>25000</v>
      </c>
      <c r="H223" s="29">
        <v>0</v>
      </c>
      <c r="I223" s="30">
        <f>-J223+H223</f>
        <v>-22000</v>
      </c>
      <c r="J223" s="29">
        <v>22000</v>
      </c>
      <c r="L223" s="29">
        <v>0</v>
      </c>
      <c r="M223" s="30">
        <f>-N223+L223</f>
        <v>-22000</v>
      </c>
      <c r="N223" s="29">
        <v>22000</v>
      </c>
      <c r="P223" s="29">
        <v>0</v>
      </c>
      <c r="Q223" s="30">
        <v>-25000</v>
      </c>
      <c r="R223" s="29">
        <v>25000</v>
      </c>
      <c r="T223" s="29">
        <v>0</v>
      </c>
      <c r="U223" s="30">
        <f>-V223+T223</f>
        <v>-25000</v>
      </c>
      <c r="V223" s="29">
        <v>25000</v>
      </c>
    </row>
    <row r="224" spans="1:22" ht="21">
      <c r="A224" s="47" t="s">
        <v>452</v>
      </c>
      <c r="B224" s="48"/>
      <c r="C224" s="49" t="s">
        <v>453</v>
      </c>
      <c r="D224" s="50">
        <f>SUM(D225,D294,D309)</f>
        <v>0</v>
      </c>
      <c r="E224" s="63">
        <f>SUM(E225,E294,E309)</f>
        <v>-291342.82000000007</v>
      </c>
      <c r="F224" s="50">
        <f>SUM(F225,F294,F309)</f>
        <v>291342.82000000007</v>
      </c>
      <c r="H224" s="50">
        <f>SUM(H225,H294,H309)</f>
        <v>0</v>
      </c>
      <c r="I224" s="63">
        <f>SUM(I225,I294,I309)</f>
        <v>-338379.06000000006</v>
      </c>
      <c r="J224" s="50">
        <f>SUM(J225,J294,J309)</f>
        <v>338379.06000000006</v>
      </c>
      <c r="L224" s="50">
        <f>SUM(L225,L294,L309)</f>
        <v>0</v>
      </c>
      <c r="M224" s="63">
        <f>SUM(M225,M294,M309)</f>
        <v>-341379.06000000006</v>
      </c>
      <c r="N224" s="50">
        <f>SUM(N225,N294,N309)</f>
        <v>341379.06000000006</v>
      </c>
      <c r="P224" s="50">
        <v>0</v>
      </c>
      <c r="Q224" s="63">
        <v>-297575</v>
      </c>
      <c r="R224" s="50">
        <v>297575</v>
      </c>
      <c r="T224" s="50">
        <f>SUM(T225,T294,T309)</f>
        <v>0</v>
      </c>
      <c r="U224" s="63">
        <f>SUM(U225,U294,U309)</f>
        <v>-332852.78999999998</v>
      </c>
      <c r="V224" s="50">
        <f>SUM(V225,V294,V309)</f>
        <v>332852.78999999998</v>
      </c>
    </row>
    <row r="225" spans="1:22">
      <c r="A225" s="86" t="s">
        <v>454</v>
      </c>
      <c r="B225" s="87"/>
      <c r="C225" s="88" t="s">
        <v>455</v>
      </c>
      <c r="D225" s="89">
        <f>SUM(D226:D293)</f>
        <v>0</v>
      </c>
      <c r="E225" s="90">
        <f>SUM(E226:E293)</f>
        <v>-233842.82000000009</v>
      </c>
      <c r="F225" s="89">
        <f>SUM(F226:F293)</f>
        <v>233842.82000000009</v>
      </c>
      <c r="H225" s="89">
        <f>SUM(H226:H293)</f>
        <v>0</v>
      </c>
      <c r="I225" s="90">
        <f>SUM(I226:I293)</f>
        <v>-299679.06000000006</v>
      </c>
      <c r="J225" s="89">
        <f>SUM(J226:J293)</f>
        <v>299679.06000000006</v>
      </c>
      <c r="L225" s="89">
        <f>SUM(L226:L293)</f>
        <v>0</v>
      </c>
      <c r="M225" s="90">
        <f>SUM(M226:M293)</f>
        <v>-299679.06000000006</v>
      </c>
      <c r="N225" s="89">
        <f>SUM(N226:N293)</f>
        <v>299679.06000000006</v>
      </c>
      <c r="P225" s="89">
        <v>0</v>
      </c>
      <c r="Q225" s="90">
        <v>-250075</v>
      </c>
      <c r="R225" s="89">
        <v>250075</v>
      </c>
      <c r="T225" s="89">
        <f>SUM(T226:T293)</f>
        <v>0</v>
      </c>
      <c r="U225" s="90">
        <f>SUM(U226:U293)</f>
        <v>-285352.78999999998</v>
      </c>
      <c r="V225" s="89">
        <f>SUM(V226:V293)</f>
        <v>285352.78999999998</v>
      </c>
    </row>
    <row r="226" spans="1:22">
      <c r="A226" s="52" t="s">
        <v>456</v>
      </c>
      <c r="B226" s="53" t="s">
        <v>457</v>
      </c>
      <c r="C226" s="32" t="s">
        <v>458</v>
      </c>
      <c r="D226" s="91">
        <v>0</v>
      </c>
      <c r="E226" s="91">
        <f t="shared" ref="E226:E289" si="124">-F226+D226</f>
        <v>0</v>
      </c>
      <c r="F226" s="92">
        <v>0</v>
      </c>
      <c r="H226" s="91">
        <v>0</v>
      </c>
      <c r="I226" s="91">
        <f t="shared" ref="I226:I289" si="125">-J226+H226</f>
        <v>0</v>
      </c>
      <c r="J226" s="92">
        <v>0</v>
      </c>
      <c r="L226" s="91">
        <v>0</v>
      </c>
      <c r="M226" s="91">
        <f t="shared" ref="M226:M289" si="126">-N226+L226</f>
        <v>0</v>
      </c>
      <c r="N226" s="92">
        <v>0</v>
      </c>
      <c r="P226" s="91">
        <v>0</v>
      </c>
      <c r="Q226" s="91">
        <v>0</v>
      </c>
      <c r="R226" s="92">
        <v>0</v>
      </c>
      <c r="T226" s="91">
        <v>0</v>
      </c>
      <c r="U226" s="91">
        <f t="shared" ref="U226:U289" si="127">-V226+T226</f>
        <v>0</v>
      </c>
      <c r="V226" s="92">
        <v>0</v>
      </c>
    </row>
    <row r="227" spans="1:22">
      <c r="A227" s="52"/>
      <c r="B227" s="53" t="s">
        <v>459</v>
      </c>
      <c r="C227" s="32" t="s">
        <v>460</v>
      </c>
      <c r="D227" s="29">
        <v>0</v>
      </c>
      <c r="E227" s="30">
        <f t="shared" si="124"/>
        <v>-6877.73</v>
      </c>
      <c r="F227" s="93">
        <v>6877.73</v>
      </c>
      <c r="H227" s="29">
        <v>0</v>
      </c>
      <c r="I227" s="30">
        <f t="shared" si="125"/>
        <v>-8814.09</v>
      </c>
      <c r="J227" s="29">
        <v>8814.09</v>
      </c>
      <c r="L227" s="29">
        <v>0</v>
      </c>
      <c r="M227" s="30">
        <f t="shared" si="126"/>
        <v>-8814.09</v>
      </c>
      <c r="N227" s="29">
        <v>8814.09</v>
      </c>
      <c r="P227" s="29">
        <v>0</v>
      </c>
      <c r="Q227" s="30">
        <v>-7145</v>
      </c>
      <c r="R227" s="29">
        <v>7145</v>
      </c>
      <c r="T227" s="29">
        <v>0</v>
      </c>
      <c r="U227" s="30">
        <f t="shared" si="127"/>
        <v>-6920.94</v>
      </c>
      <c r="V227" s="29">
        <v>6920.94</v>
      </c>
    </row>
    <row r="228" spans="1:22">
      <c r="A228" s="52" t="s">
        <v>461</v>
      </c>
      <c r="B228" s="53" t="s">
        <v>462</v>
      </c>
      <c r="C228" s="32" t="s">
        <v>463</v>
      </c>
      <c r="D228" s="29">
        <v>0</v>
      </c>
      <c r="E228" s="30">
        <f t="shared" si="124"/>
        <v>0</v>
      </c>
      <c r="F228" s="29">
        <v>0</v>
      </c>
      <c r="H228" s="29">
        <v>0</v>
      </c>
      <c r="I228" s="30">
        <f t="shared" si="125"/>
        <v>0</v>
      </c>
      <c r="J228" s="29">
        <v>0</v>
      </c>
      <c r="L228" s="29">
        <v>0</v>
      </c>
      <c r="M228" s="30">
        <f t="shared" si="126"/>
        <v>0</v>
      </c>
      <c r="N228" s="29">
        <v>0</v>
      </c>
      <c r="P228" s="29">
        <v>0</v>
      </c>
      <c r="Q228" s="30">
        <v>0</v>
      </c>
      <c r="R228" s="29">
        <v>0</v>
      </c>
      <c r="T228" s="29">
        <v>0</v>
      </c>
      <c r="U228" s="30">
        <f t="shared" si="127"/>
        <v>0</v>
      </c>
      <c r="V228" s="29">
        <v>0</v>
      </c>
    </row>
    <row r="229" spans="1:22">
      <c r="A229" s="52"/>
      <c r="B229" s="53" t="s">
        <v>464</v>
      </c>
      <c r="C229" s="32" t="s">
        <v>465</v>
      </c>
      <c r="D229" s="29">
        <v>0</v>
      </c>
      <c r="E229" s="30">
        <f t="shared" si="124"/>
        <v>-6877.73</v>
      </c>
      <c r="F229" s="93">
        <v>6877.73</v>
      </c>
      <c r="H229" s="29">
        <v>0</v>
      </c>
      <c r="I229" s="30">
        <f t="shared" si="125"/>
        <v>-8814.09</v>
      </c>
      <c r="J229" s="29">
        <v>8814.09</v>
      </c>
      <c r="L229" s="29">
        <v>0</v>
      </c>
      <c r="M229" s="30">
        <f t="shared" si="126"/>
        <v>-8814.09</v>
      </c>
      <c r="N229" s="29">
        <v>8814.09</v>
      </c>
      <c r="P229" s="29">
        <v>0</v>
      </c>
      <c r="Q229" s="30">
        <v>-7145</v>
      </c>
      <c r="R229" s="29">
        <v>7145</v>
      </c>
      <c r="T229" s="29">
        <v>0</v>
      </c>
      <c r="U229" s="30">
        <f t="shared" si="127"/>
        <v>-5493.72</v>
      </c>
      <c r="V229" s="29">
        <v>5493.72</v>
      </c>
    </row>
    <row r="230" spans="1:22">
      <c r="A230" s="52" t="s">
        <v>466</v>
      </c>
      <c r="B230" s="53" t="s">
        <v>467</v>
      </c>
      <c r="C230" s="54" t="s">
        <v>468</v>
      </c>
      <c r="D230" s="29">
        <v>0</v>
      </c>
      <c r="E230" s="30">
        <f t="shared" si="124"/>
        <v>0</v>
      </c>
      <c r="F230" s="29">
        <v>0</v>
      </c>
      <c r="H230" s="29">
        <v>0</v>
      </c>
      <c r="I230" s="30">
        <f t="shared" si="125"/>
        <v>0</v>
      </c>
      <c r="J230" s="29">
        <v>0</v>
      </c>
      <c r="L230" s="29">
        <v>0</v>
      </c>
      <c r="M230" s="30">
        <f t="shared" si="126"/>
        <v>0</v>
      </c>
      <c r="N230" s="29">
        <v>0</v>
      </c>
      <c r="P230" s="29">
        <v>0</v>
      </c>
      <c r="Q230" s="30">
        <v>0</v>
      </c>
      <c r="R230" s="29">
        <v>0</v>
      </c>
      <c r="T230" s="29">
        <v>0</v>
      </c>
      <c r="U230" s="30">
        <f t="shared" si="127"/>
        <v>0</v>
      </c>
      <c r="V230" s="29">
        <v>0</v>
      </c>
    </row>
    <row r="231" spans="1:22">
      <c r="A231" s="52"/>
      <c r="B231" s="53" t="s">
        <v>469</v>
      </c>
      <c r="C231" s="54" t="s">
        <v>470</v>
      </c>
      <c r="D231" s="29">
        <v>0</v>
      </c>
      <c r="E231" s="30">
        <f t="shared" si="124"/>
        <v>-6877.73</v>
      </c>
      <c r="F231" s="93">
        <v>6877.73</v>
      </c>
      <c r="H231" s="29">
        <v>0</v>
      </c>
      <c r="I231" s="30">
        <f t="shared" si="125"/>
        <v>-8814.09</v>
      </c>
      <c r="J231" s="29">
        <v>8814.09</v>
      </c>
      <c r="L231" s="29">
        <v>0</v>
      </c>
      <c r="M231" s="30">
        <f t="shared" si="126"/>
        <v>-8814.09</v>
      </c>
      <c r="N231" s="29">
        <v>8814.09</v>
      </c>
      <c r="P231" s="29">
        <v>0</v>
      </c>
      <c r="Q231" s="30">
        <v>-7145</v>
      </c>
      <c r="R231" s="29">
        <v>7145</v>
      </c>
      <c r="T231" s="29">
        <v>0</v>
      </c>
      <c r="U231" s="30">
        <f t="shared" si="127"/>
        <v>-22656.67</v>
      </c>
      <c r="V231" s="29">
        <v>22656.67</v>
      </c>
    </row>
    <row r="232" spans="1:22">
      <c r="A232" s="52" t="s">
        <v>471</v>
      </c>
      <c r="B232" s="53" t="s">
        <v>472</v>
      </c>
      <c r="C232" s="30" t="s">
        <v>473</v>
      </c>
      <c r="D232" s="29">
        <v>0</v>
      </c>
      <c r="E232" s="30">
        <f t="shared" si="124"/>
        <v>0</v>
      </c>
      <c r="F232" s="29">
        <v>0</v>
      </c>
      <c r="H232" s="29">
        <v>0</v>
      </c>
      <c r="I232" s="30">
        <f t="shared" si="125"/>
        <v>0</v>
      </c>
      <c r="J232" s="29">
        <v>0</v>
      </c>
      <c r="L232" s="29">
        <v>0</v>
      </c>
      <c r="M232" s="30">
        <f t="shared" si="126"/>
        <v>0</v>
      </c>
      <c r="N232" s="29">
        <v>0</v>
      </c>
      <c r="P232" s="29">
        <v>0</v>
      </c>
      <c r="Q232" s="30">
        <v>0</v>
      </c>
      <c r="R232" s="29">
        <v>0</v>
      </c>
      <c r="T232" s="29">
        <v>0</v>
      </c>
      <c r="U232" s="30">
        <f t="shared" si="127"/>
        <v>0</v>
      </c>
      <c r="V232" s="29">
        <v>0</v>
      </c>
    </row>
    <row r="233" spans="1:22">
      <c r="A233" s="52"/>
      <c r="B233" s="53" t="s">
        <v>474</v>
      </c>
      <c r="C233" s="30" t="s">
        <v>475</v>
      </c>
      <c r="D233" s="29">
        <v>0</v>
      </c>
      <c r="E233" s="30">
        <f t="shared" si="124"/>
        <v>-6877.73</v>
      </c>
      <c r="F233" s="93">
        <v>6877.73</v>
      </c>
      <c r="H233" s="29">
        <v>0</v>
      </c>
      <c r="I233" s="30">
        <f t="shared" si="125"/>
        <v>-8814.09</v>
      </c>
      <c r="J233" s="29">
        <v>8814.09</v>
      </c>
      <c r="L233" s="29">
        <v>0</v>
      </c>
      <c r="M233" s="30">
        <f t="shared" si="126"/>
        <v>-8814.09</v>
      </c>
      <c r="N233" s="29">
        <v>8814.09</v>
      </c>
      <c r="P233" s="29">
        <v>0</v>
      </c>
      <c r="Q233" s="30">
        <v>-7145</v>
      </c>
      <c r="R233" s="29">
        <v>7145</v>
      </c>
      <c r="T233" s="29">
        <v>0</v>
      </c>
      <c r="U233" s="30">
        <f t="shared" si="127"/>
        <v>-3732.33</v>
      </c>
      <c r="V233" s="29">
        <v>3732.33</v>
      </c>
    </row>
    <row r="234" spans="1:22">
      <c r="A234" s="52" t="s">
        <v>476</v>
      </c>
      <c r="B234" s="53" t="s">
        <v>477</v>
      </c>
      <c r="C234" s="30" t="s">
        <v>478</v>
      </c>
      <c r="D234" s="29">
        <v>0</v>
      </c>
      <c r="E234" s="30">
        <f t="shared" si="124"/>
        <v>0</v>
      </c>
      <c r="F234" s="29">
        <v>0</v>
      </c>
      <c r="H234" s="29">
        <v>0</v>
      </c>
      <c r="I234" s="30">
        <f t="shared" si="125"/>
        <v>0</v>
      </c>
      <c r="J234" s="29">
        <v>0</v>
      </c>
      <c r="L234" s="29">
        <v>0</v>
      </c>
      <c r="M234" s="30">
        <f t="shared" si="126"/>
        <v>0</v>
      </c>
      <c r="N234" s="29">
        <v>0</v>
      </c>
      <c r="P234" s="29">
        <v>0</v>
      </c>
      <c r="Q234" s="30">
        <v>0</v>
      </c>
      <c r="R234" s="29">
        <v>0</v>
      </c>
      <c r="T234" s="29">
        <v>0</v>
      </c>
      <c r="U234" s="30">
        <f t="shared" si="127"/>
        <v>0</v>
      </c>
      <c r="V234" s="29">
        <v>0</v>
      </c>
    </row>
    <row r="235" spans="1:22">
      <c r="A235" s="52"/>
      <c r="B235" s="53" t="s">
        <v>479</v>
      </c>
      <c r="C235" s="30" t="s">
        <v>480</v>
      </c>
      <c r="D235" s="29">
        <v>0</v>
      </c>
      <c r="E235" s="30">
        <f t="shared" si="124"/>
        <v>-6877.73</v>
      </c>
      <c r="F235" s="93">
        <v>6877.73</v>
      </c>
      <c r="H235" s="29">
        <v>0</v>
      </c>
      <c r="I235" s="30">
        <f t="shared" si="125"/>
        <v>-8814.09</v>
      </c>
      <c r="J235" s="29">
        <v>8814.09</v>
      </c>
      <c r="L235" s="29">
        <v>0</v>
      </c>
      <c r="M235" s="30">
        <f t="shared" si="126"/>
        <v>-8814.09</v>
      </c>
      <c r="N235" s="29">
        <v>8814.09</v>
      </c>
      <c r="P235" s="29">
        <v>0</v>
      </c>
      <c r="Q235" s="30">
        <v>-7145</v>
      </c>
      <c r="R235" s="29">
        <v>7145</v>
      </c>
      <c r="T235" s="29">
        <v>0</v>
      </c>
      <c r="U235" s="30">
        <f t="shared" si="127"/>
        <v>-14239.5</v>
      </c>
      <c r="V235" s="29">
        <v>14239.5</v>
      </c>
    </row>
    <row r="236" spans="1:22">
      <c r="A236" s="52" t="s">
        <v>481</v>
      </c>
      <c r="B236" s="53" t="s">
        <v>482</v>
      </c>
      <c r="C236" s="30" t="s">
        <v>483</v>
      </c>
      <c r="D236" s="29">
        <v>0</v>
      </c>
      <c r="E236" s="30">
        <f t="shared" si="124"/>
        <v>0</v>
      </c>
      <c r="F236" s="29">
        <v>0</v>
      </c>
      <c r="H236" s="29">
        <v>0</v>
      </c>
      <c r="I236" s="30">
        <f t="shared" si="125"/>
        <v>0</v>
      </c>
      <c r="J236" s="29">
        <v>0</v>
      </c>
      <c r="L236" s="29">
        <v>0</v>
      </c>
      <c r="M236" s="30">
        <f t="shared" si="126"/>
        <v>0</v>
      </c>
      <c r="N236" s="29">
        <v>0</v>
      </c>
      <c r="P236" s="29">
        <v>0</v>
      </c>
      <c r="Q236" s="30">
        <v>0</v>
      </c>
      <c r="R236" s="29">
        <v>0</v>
      </c>
      <c r="T236" s="29">
        <v>0</v>
      </c>
      <c r="U236" s="30">
        <f t="shared" si="127"/>
        <v>0</v>
      </c>
      <c r="V236" s="29">
        <v>0</v>
      </c>
    </row>
    <row r="237" spans="1:22">
      <c r="A237" s="52"/>
      <c r="B237" s="53" t="s">
        <v>484</v>
      </c>
      <c r="C237" s="30" t="s">
        <v>485</v>
      </c>
      <c r="D237" s="29">
        <v>0</v>
      </c>
      <c r="E237" s="30">
        <f t="shared" si="124"/>
        <v>-6877.73</v>
      </c>
      <c r="F237" s="93">
        <v>6877.73</v>
      </c>
      <c r="H237" s="29">
        <v>0</v>
      </c>
      <c r="I237" s="30">
        <f t="shared" si="125"/>
        <v>-8814.09</v>
      </c>
      <c r="J237" s="29">
        <v>8814.09</v>
      </c>
      <c r="L237" s="29">
        <v>0</v>
      </c>
      <c r="M237" s="30">
        <f t="shared" si="126"/>
        <v>-8814.09</v>
      </c>
      <c r="N237" s="29">
        <v>8814.09</v>
      </c>
      <c r="P237" s="29">
        <v>0</v>
      </c>
      <c r="Q237" s="30">
        <v>-7145</v>
      </c>
      <c r="R237" s="29">
        <v>7145</v>
      </c>
      <c r="T237" s="29">
        <v>0</v>
      </c>
      <c r="U237" s="30">
        <f t="shared" si="127"/>
        <v>-8530.2900000000009</v>
      </c>
      <c r="V237" s="29">
        <v>8530.2900000000009</v>
      </c>
    </row>
    <row r="238" spans="1:22">
      <c r="A238" s="52" t="s">
        <v>486</v>
      </c>
      <c r="B238" s="53" t="s">
        <v>487</v>
      </c>
      <c r="C238" s="32" t="s">
        <v>488</v>
      </c>
      <c r="D238" s="29">
        <v>0</v>
      </c>
      <c r="E238" s="30">
        <f t="shared" si="124"/>
        <v>0</v>
      </c>
      <c r="F238" s="29">
        <v>0</v>
      </c>
      <c r="H238" s="29">
        <v>0</v>
      </c>
      <c r="I238" s="30">
        <f t="shared" si="125"/>
        <v>0</v>
      </c>
      <c r="J238" s="29">
        <v>0</v>
      </c>
      <c r="L238" s="29">
        <v>0</v>
      </c>
      <c r="M238" s="30">
        <f t="shared" si="126"/>
        <v>0</v>
      </c>
      <c r="N238" s="29">
        <v>0</v>
      </c>
      <c r="P238" s="29">
        <v>0</v>
      </c>
      <c r="Q238" s="30">
        <v>0</v>
      </c>
      <c r="R238" s="29">
        <v>0</v>
      </c>
      <c r="T238" s="29">
        <v>0</v>
      </c>
      <c r="U238" s="30">
        <f t="shared" si="127"/>
        <v>0</v>
      </c>
      <c r="V238" s="29">
        <v>0</v>
      </c>
    </row>
    <row r="239" spans="1:22">
      <c r="A239" s="52"/>
      <c r="B239" s="53" t="s">
        <v>489</v>
      </c>
      <c r="C239" s="32" t="s">
        <v>490</v>
      </c>
      <c r="D239" s="29">
        <v>0</v>
      </c>
      <c r="E239" s="30">
        <f t="shared" si="124"/>
        <v>-6877.73</v>
      </c>
      <c r="F239" s="93">
        <v>6877.73</v>
      </c>
      <c r="H239" s="29">
        <v>0</v>
      </c>
      <c r="I239" s="30">
        <f t="shared" si="125"/>
        <v>-8814.09</v>
      </c>
      <c r="J239" s="29">
        <v>8814.09</v>
      </c>
      <c r="L239" s="29">
        <v>0</v>
      </c>
      <c r="M239" s="30">
        <f t="shared" si="126"/>
        <v>-8814.09</v>
      </c>
      <c r="N239" s="29">
        <v>8814.09</v>
      </c>
      <c r="P239" s="29">
        <v>0</v>
      </c>
      <c r="Q239" s="30">
        <v>-7145</v>
      </c>
      <c r="R239" s="29">
        <v>7145</v>
      </c>
      <c r="T239" s="29">
        <v>0</v>
      </c>
      <c r="U239" s="30">
        <f t="shared" si="127"/>
        <v>-6175.09</v>
      </c>
      <c r="V239" s="29">
        <v>6175.09</v>
      </c>
    </row>
    <row r="240" spans="1:22">
      <c r="A240" s="52" t="s">
        <v>491</v>
      </c>
      <c r="B240" s="53" t="s">
        <v>492</v>
      </c>
      <c r="C240" s="32" t="s">
        <v>493</v>
      </c>
      <c r="D240" s="29">
        <v>0</v>
      </c>
      <c r="E240" s="30">
        <f t="shared" si="124"/>
        <v>0</v>
      </c>
      <c r="F240" s="29">
        <v>0</v>
      </c>
      <c r="H240" s="29">
        <v>0</v>
      </c>
      <c r="I240" s="30">
        <f t="shared" si="125"/>
        <v>0</v>
      </c>
      <c r="J240" s="29">
        <v>0</v>
      </c>
      <c r="L240" s="29">
        <v>0</v>
      </c>
      <c r="M240" s="30">
        <f t="shared" si="126"/>
        <v>0</v>
      </c>
      <c r="N240" s="29">
        <v>0</v>
      </c>
      <c r="P240" s="29">
        <v>0</v>
      </c>
      <c r="Q240" s="30">
        <v>0</v>
      </c>
      <c r="R240" s="29">
        <v>0</v>
      </c>
      <c r="T240" s="29">
        <v>0</v>
      </c>
      <c r="U240" s="30">
        <f t="shared" si="127"/>
        <v>0</v>
      </c>
      <c r="V240" s="29">
        <v>0</v>
      </c>
    </row>
    <row r="241" spans="1:22">
      <c r="A241" s="52"/>
      <c r="B241" s="53" t="s">
        <v>494</v>
      </c>
      <c r="C241" s="32" t="s">
        <v>495</v>
      </c>
      <c r="D241" s="29">
        <v>0</v>
      </c>
      <c r="E241" s="30">
        <f t="shared" si="124"/>
        <v>-6877.73</v>
      </c>
      <c r="F241" s="93">
        <v>6877.73</v>
      </c>
      <c r="H241" s="29">
        <v>0</v>
      </c>
      <c r="I241" s="30">
        <f t="shared" si="125"/>
        <v>-8814.09</v>
      </c>
      <c r="J241" s="29">
        <v>8814.09</v>
      </c>
      <c r="L241" s="29">
        <v>0</v>
      </c>
      <c r="M241" s="30">
        <f t="shared" si="126"/>
        <v>-8814.09</v>
      </c>
      <c r="N241" s="29">
        <v>8814.09</v>
      </c>
      <c r="P241" s="29">
        <v>0</v>
      </c>
      <c r="Q241" s="30">
        <v>-7145</v>
      </c>
      <c r="R241" s="29">
        <v>7145</v>
      </c>
      <c r="T241" s="29">
        <v>0</v>
      </c>
      <c r="U241" s="30">
        <f t="shared" si="127"/>
        <v>-7231.39</v>
      </c>
      <c r="V241" s="29">
        <v>7231.39</v>
      </c>
    </row>
    <row r="242" spans="1:22">
      <c r="A242" s="52" t="s">
        <v>496</v>
      </c>
      <c r="B242" s="53" t="s">
        <v>497</v>
      </c>
      <c r="C242" s="32" t="s">
        <v>498</v>
      </c>
      <c r="D242" s="29">
        <v>0</v>
      </c>
      <c r="E242" s="30">
        <f t="shared" si="124"/>
        <v>0</v>
      </c>
      <c r="F242" s="29">
        <v>0</v>
      </c>
      <c r="H242" s="29">
        <v>0</v>
      </c>
      <c r="I242" s="30">
        <f t="shared" si="125"/>
        <v>0</v>
      </c>
      <c r="J242" s="29">
        <v>0</v>
      </c>
      <c r="L242" s="29">
        <v>0</v>
      </c>
      <c r="M242" s="30">
        <f t="shared" si="126"/>
        <v>0</v>
      </c>
      <c r="N242" s="29">
        <v>0</v>
      </c>
      <c r="P242" s="29">
        <v>0</v>
      </c>
      <c r="Q242" s="30">
        <v>0</v>
      </c>
      <c r="R242" s="29">
        <v>0</v>
      </c>
      <c r="T242" s="29">
        <v>0</v>
      </c>
      <c r="U242" s="30">
        <f t="shared" si="127"/>
        <v>0</v>
      </c>
      <c r="V242" s="29">
        <v>0</v>
      </c>
    </row>
    <row r="243" spans="1:22">
      <c r="A243" s="52"/>
      <c r="B243" s="53" t="s">
        <v>499</v>
      </c>
      <c r="C243" s="32" t="s">
        <v>500</v>
      </c>
      <c r="D243" s="29">
        <v>0</v>
      </c>
      <c r="E243" s="30">
        <f t="shared" si="124"/>
        <v>-6877.73</v>
      </c>
      <c r="F243" s="93">
        <v>6877.73</v>
      </c>
      <c r="H243" s="29">
        <v>0</v>
      </c>
      <c r="I243" s="30">
        <f t="shared" si="125"/>
        <v>-8814.09</v>
      </c>
      <c r="J243" s="29">
        <v>8814.09</v>
      </c>
      <c r="L243" s="29">
        <v>0</v>
      </c>
      <c r="M243" s="30">
        <f t="shared" si="126"/>
        <v>-8814.09</v>
      </c>
      <c r="N243" s="29">
        <v>8814.09</v>
      </c>
      <c r="P243" s="29">
        <v>0</v>
      </c>
      <c r="Q243" s="30">
        <v>-7145</v>
      </c>
      <c r="R243" s="29">
        <v>7145</v>
      </c>
      <c r="T243" s="29">
        <v>0</v>
      </c>
      <c r="U243" s="30">
        <f t="shared" si="127"/>
        <v>-11554.53</v>
      </c>
      <c r="V243" s="29">
        <v>11554.53</v>
      </c>
    </row>
    <row r="244" spans="1:22">
      <c r="A244" s="52" t="s">
        <v>501</v>
      </c>
      <c r="B244" s="53" t="s">
        <v>502</v>
      </c>
      <c r="C244" s="32" t="s">
        <v>503</v>
      </c>
      <c r="D244" s="29">
        <v>0</v>
      </c>
      <c r="E244" s="30">
        <f t="shared" si="124"/>
        <v>0</v>
      </c>
      <c r="F244" s="29">
        <v>0</v>
      </c>
      <c r="H244" s="29">
        <v>0</v>
      </c>
      <c r="I244" s="30">
        <f t="shared" si="125"/>
        <v>0</v>
      </c>
      <c r="J244" s="29">
        <v>0</v>
      </c>
      <c r="L244" s="29">
        <v>0</v>
      </c>
      <c r="M244" s="30">
        <f t="shared" si="126"/>
        <v>0</v>
      </c>
      <c r="N244" s="29">
        <v>0</v>
      </c>
      <c r="P244" s="29">
        <v>0</v>
      </c>
      <c r="Q244" s="30">
        <v>0</v>
      </c>
      <c r="R244" s="29">
        <v>0</v>
      </c>
      <c r="T244" s="29">
        <v>0</v>
      </c>
      <c r="U244" s="30">
        <f t="shared" si="127"/>
        <v>0</v>
      </c>
      <c r="V244" s="29">
        <v>0</v>
      </c>
    </row>
    <row r="245" spans="1:22">
      <c r="A245" s="52"/>
      <c r="B245" s="53" t="s">
        <v>504</v>
      </c>
      <c r="C245" s="32" t="s">
        <v>505</v>
      </c>
      <c r="D245" s="29">
        <v>0</v>
      </c>
      <c r="E245" s="30">
        <f t="shared" si="124"/>
        <v>-6877.73</v>
      </c>
      <c r="F245" s="93">
        <v>6877.73</v>
      </c>
      <c r="H245" s="29">
        <v>0</v>
      </c>
      <c r="I245" s="30">
        <f t="shared" si="125"/>
        <v>-8814.09</v>
      </c>
      <c r="J245" s="29">
        <v>8814.09</v>
      </c>
      <c r="L245" s="29">
        <v>0</v>
      </c>
      <c r="M245" s="30">
        <f t="shared" si="126"/>
        <v>-8814.09</v>
      </c>
      <c r="N245" s="29">
        <v>8814.09</v>
      </c>
      <c r="P245" s="29">
        <v>0</v>
      </c>
      <c r="Q245" s="30">
        <v>-7145</v>
      </c>
      <c r="R245" s="29">
        <v>7145</v>
      </c>
      <c r="T245" s="29">
        <v>0</v>
      </c>
      <c r="U245" s="30">
        <f t="shared" si="127"/>
        <v>-5773.46</v>
      </c>
      <c r="V245" s="29">
        <v>5773.46</v>
      </c>
    </row>
    <row r="246" spans="1:22">
      <c r="A246" s="52" t="s">
        <v>506</v>
      </c>
      <c r="B246" s="53" t="s">
        <v>507</v>
      </c>
      <c r="C246" s="32" t="s">
        <v>508</v>
      </c>
      <c r="D246" s="29">
        <v>0</v>
      </c>
      <c r="E246" s="30">
        <f t="shared" si="124"/>
        <v>0</v>
      </c>
      <c r="F246" s="29">
        <v>0</v>
      </c>
      <c r="H246" s="29">
        <v>0</v>
      </c>
      <c r="I246" s="30">
        <f t="shared" si="125"/>
        <v>0</v>
      </c>
      <c r="J246" s="29">
        <v>0</v>
      </c>
      <c r="L246" s="29">
        <v>0</v>
      </c>
      <c r="M246" s="30">
        <f t="shared" si="126"/>
        <v>0</v>
      </c>
      <c r="N246" s="29">
        <v>0</v>
      </c>
      <c r="P246" s="29">
        <v>0</v>
      </c>
      <c r="Q246" s="30">
        <v>0</v>
      </c>
      <c r="R246" s="29">
        <v>0</v>
      </c>
      <c r="T246" s="29">
        <v>0</v>
      </c>
      <c r="U246" s="30">
        <f t="shared" si="127"/>
        <v>0</v>
      </c>
      <c r="V246" s="29">
        <v>0</v>
      </c>
    </row>
    <row r="247" spans="1:22">
      <c r="A247" s="52"/>
      <c r="B247" s="53" t="s">
        <v>509</v>
      </c>
      <c r="C247" s="32" t="s">
        <v>510</v>
      </c>
      <c r="D247" s="38">
        <v>0</v>
      </c>
      <c r="E247" s="30">
        <f t="shared" si="124"/>
        <v>-6877.73</v>
      </c>
      <c r="F247" s="93">
        <v>6877.73</v>
      </c>
      <c r="H247" s="38">
        <v>0</v>
      </c>
      <c r="I247" s="30">
        <f t="shared" si="125"/>
        <v>-8814.09</v>
      </c>
      <c r="J247" s="29">
        <v>8814.09</v>
      </c>
      <c r="L247" s="38">
        <v>0</v>
      </c>
      <c r="M247" s="30">
        <f t="shared" si="126"/>
        <v>-8814.09</v>
      </c>
      <c r="N247" s="29">
        <v>8814.09</v>
      </c>
      <c r="P247" s="38">
        <v>0</v>
      </c>
      <c r="Q247" s="30">
        <v>-7145</v>
      </c>
      <c r="R247" s="29">
        <v>7145</v>
      </c>
      <c r="T247" s="38">
        <v>0</v>
      </c>
      <c r="U247" s="30">
        <f t="shared" si="127"/>
        <v>-10533.25</v>
      </c>
      <c r="V247" s="29">
        <v>10533.25</v>
      </c>
    </row>
    <row r="248" spans="1:22">
      <c r="A248" s="52" t="s">
        <v>511</v>
      </c>
      <c r="B248" s="53" t="s">
        <v>512</v>
      </c>
      <c r="C248" s="32" t="s">
        <v>513</v>
      </c>
      <c r="D248" s="29">
        <v>0</v>
      </c>
      <c r="E248" s="30">
        <f t="shared" si="124"/>
        <v>0</v>
      </c>
      <c r="F248" s="29">
        <v>0</v>
      </c>
      <c r="H248" s="29">
        <v>0</v>
      </c>
      <c r="I248" s="30">
        <f t="shared" si="125"/>
        <v>0</v>
      </c>
      <c r="J248" s="29">
        <v>0</v>
      </c>
      <c r="L248" s="29">
        <v>0</v>
      </c>
      <c r="M248" s="30">
        <f t="shared" si="126"/>
        <v>0</v>
      </c>
      <c r="N248" s="29">
        <v>0</v>
      </c>
      <c r="P248" s="29">
        <v>0</v>
      </c>
      <c r="Q248" s="30">
        <v>0</v>
      </c>
      <c r="R248" s="29">
        <v>0</v>
      </c>
      <c r="T248" s="29">
        <v>0</v>
      </c>
      <c r="U248" s="30">
        <f t="shared" si="127"/>
        <v>0</v>
      </c>
      <c r="V248" s="29">
        <v>0</v>
      </c>
    </row>
    <row r="249" spans="1:22">
      <c r="A249" s="52"/>
      <c r="B249" s="53" t="s">
        <v>514</v>
      </c>
      <c r="C249" s="32" t="s">
        <v>515</v>
      </c>
      <c r="D249" s="29">
        <v>0</v>
      </c>
      <c r="E249" s="30">
        <f t="shared" si="124"/>
        <v>-6877.73</v>
      </c>
      <c r="F249" s="93">
        <v>6877.73</v>
      </c>
      <c r="H249" s="29">
        <v>0</v>
      </c>
      <c r="I249" s="30">
        <f t="shared" si="125"/>
        <v>-8814.09</v>
      </c>
      <c r="J249" s="29">
        <v>8814.09</v>
      </c>
      <c r="L249" s="29">
        <v>0</v>
      </c>
      <c r="M249" s="30">
        <f t="shared" si="126"/>
        <v>-8814.09</v>
      </c>
      <c r="N249" s="29">
        <v>8814.09</v>
      </c>
      <c r="P249" s="29">
        <v>0</v>
      </c>
      <c r="Q249" s="30">
        <v>-7145</v>
      </c>
      <c r="R249" s="29">
        <v>7145</v>
      </c>
      <c r="T249" s="29">
        <v>0</v>
      </c>
      <c r="U249" s="30">
        <f t="shared" si="127"/>
        <v>-7312.85</v>
      </c>
      <c r="V249" s="29">
        <v>7312.85</v>
      </c>
    </row>
    <row r="250" spans="1:22">
      <c r="A250" s="52" t="s">
        <v>516</v>
      </c>
      <c r="B250" s="53" t="s">
        <v>517</v>
      </c>
      <c r="C250" s="32" t="s">
        <v>518</v>
      </c>
      <c r="D250" s="29">
        <v>0</v>
      </c>
      <c r="E250" s="30">
        <f t="shared" si="124"/>
        <v>0</v>
      </c>
      <c r="F250" s="29">
        <v>0</v>
      </c>
      <c r="H250" s="29">
        <v>0</v>
      </c>
      <c r="I250" s="30">
        <f t="shared" si="125"/>
        <v>0</v>
      </c>
      <c r="J250" s="29">
        <v>0</v>
      </c>
      <c r="L250" s="29">
        <v>0</v>
      </c>
      <c r="M250" s="30">
        <f t="shared" si="126"/>
        <v>0</v>
      </c>
      <c r="N250" s="29">
        <v>0</v>
      </c>
      <c r="P250" s="29">
        <v>0</v>
      </c>
      <c r="Q250" s="30">
        <v>0</v>
      </c>
      <c r="R250" s="29">
        <v>0</v>
      </c>
      <c r="T250" s="29">
        <v>0</v>
      </c>
      <c r="U250" s="30">
        <f t="shared" si="127"/>
        <v>0</v>
      </c>
      <c r="V250" s="29">
        <v>0</v>
      </c>
    </row>
    <row r="251" spans="1:22">
      <c r="A251" s="52"/>
      <c r="B251" s="53" t="s">
        <v>519</v>
      </c>
      <c r="C251" s="32" t="s">
        <v>520</v>
      </c>
      <c r="D251" s="29">
        <v>0</v>
      </c>
      <c r="E251" s="30">
        <f t="shared" si="124"/>
        <v>-6877.73</v>
      </c>
      <c r="F251" s="93">
        <v>6877.73</v>
      </c>
      <c r="H251" s="29">
        <v>0</v>
      </c>
      <c r="I251" s="30">
        <f t="shared" si="125"/>
        <v>-8814.09</v>
      </c>
      <c r="J251" s="29">
        <v>8814.09</v>
      </c>
      <c r="L251" s="29">
        <v>0</v>
      </c>
      <c r="M251" s="30">
        <f t="shared" si="126"/>
        <v>-8814.09</v>
      </c>
      <c r="N251" s="29">
        <v>8814.09</v>
      </c>
      <c r="P251" s="29">
        <v>0</v>
      </c>
      <c r="Q251" s="30">
        <v>-7145</v>
      </c>
      <c r="R251" s="29">
        <v>7145</v>
      </c>
      <c r="T251" s="29">
        <v>0</v>
      </c>
      <c r="U251" s="30">
        <f t="shared" si="127"/>
        <v>-6762.94</v>
      </c>
      <c r="V251" s="29">
        <v>6762.94</v>
      </c>
    </row>
    <row r="252" spans="1:22">
      <c r="A252" s="52" t="s">
        <v>521</v>
      </c>
      <c r="B252" s="53" t="s">
        <v>522</v>
      </c>
      <c r="C252" s="32" t="s">
        <v>523</v>
      </c>
      <c r="D252" s="29">
        <v>0</v>
      </c>
      <c r="E252" s="30">
        <f t="shared" si="124"/>
        <v>0</v>
      </c>
      <c r="F252" s="29">
        <v>0</v>
      </c>
      <c r="H252" s="29">
        <v>0</v>
      </c>
      <c r="I252" s="30">
        <f t="shared" si="125"/>
        <v>0</v>
      </c>
      <c r="J252" s="29">
        <v>0</v>
      </c>
      <c r="L252" s="29">
        <v>0</v>
      </c>
      <c r="M252" s="30">
        <f t="shared" si="126"/>
        <v>0</v>
      </c>
      <c r="N252" s="29">
        <v>0</v>
      </c>
      <c r="P252" s="29">
        <v>0</v>
      </c>
      <c r="Q252" s="30">
        <v>0</v>
      </c>
      <c r="R252" s="29">
        <v>0</v>
      </c>
      <c r="T252" s="29">
        <v>0</v>
      </c>
      <c r="U252" s="30">
        <f t="shared" si="127"/>
        <v>0</v>
      </c>
      <c r="V252" s="29">
        <v>0</v>
      </c>
    </row>
    <row r="253" spans="1:22">
      <c r="A253" s="52"/>
      <c r="B253" s="53" t="s">
        <v>524</v>
      </c>
      <c r="C253" s="32" t="s">
        <v>525</v>
      </c>
      <c r="D253" s="29">
        <v>0</v>
      </c>
      <c r="E253" s="30">
        <f t="shared" si="124"/>
        <v>-6877.73</v>
      </c>
      <c r="F253" s="93">
        <v>6877.73</v>
      </c>
      <c r="H253" s="29">
        <v>0</v>
      </c>
      <c r="I253" s="30">
        <f t="shared" si="125"/>
        <v>-8814.09</v>
      </c>
      <c r="J253" s="29">
        <v>8814.09</v>
      </c>
      <c r="L253" s="29">
        <v>0</v>
      </c>
      <c r="M253" s="30">
        <f t="shared" si="126"/>
        <v>-8814.09</v>
      </c>
      <c r="N253" s="29">
        <v>8814.09</v>
      </c>
      <c r="P253" s="29">
        <v>0</v>
      </c>
      <c r="Q253" s="30">
        <v>-7145</v>
      </c>
      <c r="R253" s="29">
        <v>7145</v>
      </c>
      <c r="T253" s="29">
        <v>0</v>
      </c>
      <c r="U253" s="30">
        <f t="shared" si="127"/>
        <v>-6371.84</v>
      </c>
      <c r="V253" s="29">
        <v>6371.84</v>
      </c>
    </row>
    <row r="254" spans="1:22">
      <c r="A254" s="52" t="s">
        <v>526</v>
      </c>
      <c r="B254" s="53" t="s">
        <v>527</v>
      </c>
      <c r="C254" s="32" t="s">
        <v>528</v>
      </c>
      <c r="D254" s="29">
        <v>0</v>
      </c>
      <c r="E254" s="30">
        <f t="shared" si="124"/>
        <v>0</v>
      </c>
      <c r="F254" s="29">
        <v>0</v>
      </c>
      <c r="H254" s="29">
        <v>0</v>
      </c>
      <c r="I254" s="30">
        <f t="shared" si="125"/>
        <v>0</v>
      </c>
      <c r="J254" s="29">
        <v>0</v>
      </c>
      <c r="L254" s="29">
        <v>0</v>
      </c>
      <c r="M254" s="30">
        <f t="shared" si="126"/>
        <v>0</v>
      </c>
      <c r="N254" s="29">
        <v>0</v>
      </c>
      <c r="P254" s="29">
        <v>0</v>
      </c>
      <c r="Q254" s="30">
        <v>0</v>
      </c>
      <c r="R254" s="29">
        <v>0</v>
      </c>
      <c r="T254" s="29">
        <v>0</v>
      </c>
      <c r="U254" s="30">
        <f t="shared" si="127"/>
        <v>0</v>
      </c>
      <c r="V254" s="29">
        <v>0</v>
      </c>
    </row>
    <row r="255" spans="1:22">
      <c r="A255" s="52"/>
      <c r="B255" s="53" t="s">
        <v>529</v>
      </c>
      <c r="C255" s="32" t="s">
        <v>530</v>
      </c>
      <c r="D255" s="29">
        <v>0</v>
      </c>
      <c r="E255" s="30">
        <f t="shared" si="124"/>
        <v>-6877.73</v>
      </c>
      <c r="F255" s="93">
        <v>6877.73</v>
      </c>
      <c r="H255" s="29">
        <v>0</v>
      </c>
      <c r="I255" s="30">
        <f t="shared" si="125"/>
        <v>-8814.09</v>
      </c>
      <c r="J255" s="29">
        <v>8814.09</v>
      </c>
      <c r="L255" s="29">
        <v>0</v>
      </c>
      <c r="M255" s="30">
        <f t="shared" si="126"/>
        <v>-8814.09</v>
      </c>
      <c r="N255" s="29">
        <v>8814.09</v>
      </c>
      <c r="P255" s="29">
        <v>0</v>
      </c>
      <c r="Q255" s="30">
        <v>-7145</v>
      </c>
      <c r="R255" s="29">
        <v>7145</v>
      </c>
      <c r="T255" s="29">
        <v>0</v>
      </c>
      <c r="U255" s="30">
        <f t="shared" si="127"/>
        <v>-5537.82</v>
      </c>
      <c r="V255" s="29">
        <v>5537.82</v>
      </c>
    </row>
    <row r="256" spans="1:22">
      <c r="A256" s="52" t="s">
        <v>531</v>
      </c>
      <c r="B256" s="53" t="s">
        <v>532</v>
      </c>
      <c r="C256" s="32" t="s">
        <v>533</v>
      </c>
      <c r="D256" s="29">
        <v>0</v>
      </c>
      <c r="E256" s="30">
        <f t="shared" si="124"/>
        <v>0</v>
      </c>
      <c r="F256" s="29">
        <v>0</v>
      </c>
      <c r="H256" s="29">
        <v>0</v>
      </c>
      <c r="I256" s="30">
        <f t="shared" si="125"/>
        <v>0</v>
      </c>
      <c r="J256" s="29">
        <v>0</v>
      </c>
      <c r="L256" s="29">
        <v>0</v>
      </c>
      <c r="M256" s="30">
        <f t="shared" si="126"/>
        <v>0</v>
      </c>
      <c r="N256" s="29">
        <v>0</v>
      </c>
      <c r="P256" s="29">
        <v>0</v>
      </c>
      <c r="Q256" s="30">
        <v>0</v>
      </c>
      <c r="R256" s="29">
        <v>0</v>
      </c>
      <c r="T256" s="29">
        <v>0</v>
      </c>
      <c r="U256" s="30">
        <f t="shared" si="127"/>
        <v>0</v>
      </c>
      <c r="V256" s="29">
        <v>0</v>
      </c>
    </row>
    <row r="257" spans="1:22">
      <c r="A257" s="52"/>
      <c r="B257" s="53" t="s">
        <v>534</v>
      </c>
      <c r="C257" s="32" t="s">
        <v>535</v>
      </c>
      <c r="D257" s="29">
        <v>0</v>
      </c>
      <c r="E257" s="30">
        <f t="shared" si="124"/>
        <v>-6877.73</v>
      </c>
      <c r="F257" s="93">
        <v>6877.73</v>
      </c>
      <c r="H257" s="29">
        <v>0</v>
      </c>
      <c r="I257" s="30">
        <f t="shared" si="125"/>
        <v>-8814.09</v>
      </c>
      <c r="J257" s="29">
        <v>8814.09</v>
      </c>
      <c r="L257" s="29">
        <v>0</v>
      </c>
      <c r="M257" s="30">
        <f t="shared" si="126"/>
        <v>-8814.09</v>
      </c>
      <c r="N257" s="29">
        <v>8814.09</v>
      </c>
      <c r="P257" s="29">
        <v>0</v>
      </c>
      <c r="Q257" s="30">
        <v>-7145</v>
      </c>
      <c r="R257" s="29">
        <v>7145</v>
      </c>
      <c r="T257" s="29">
        <v>0</v>
      </c>
      <c r="U257" s="30">
        <f t="shared" si="127"/>
        <v>-5534.85</v>
      </c>
      <c r="V257" s="29">
        <v>5534.85</v>
      </c>
    </row>
    <row r="258" spans="1:22">
      <c r="A258" s="52" t="s">
        <v>536</v>
      </c>
      <c r="B258" s="53" t="s">
        <v>537</v>
      </c>
      <c r="C258" s="32" t="s">
        <v>538</v>
      </c>
      <c r="D258" s="29">
        <v>0</v>
      </c>
      <c r="E258" s="30">
        <f t="shared" si="124"/>
        <v>0</v>
      </c>
      <c r="F258" s="29">
        <v>0</v>
      </c>
      <c r="H258" s="29">
        <v>0</v>
      </c>
      <c r="I258" s="30">
        <f t="shared" si="125"/>
        <v>0</v>
      </c>
      <c r="J258" s="29">
        <v>0</v>
      </c>
      <c r="L258" s="29">
        <v>0</v>
      </c>
      <c r="M258" s="30">
        <f t="shared" si="126"/>
        <v>0</v>
      </c>
      <c r="N258" s="29">
        <v>0</v>
      </c>
      <c r="P258" s="29">
        <v>0</v>
      </c>
      <c r="Q258" s="30">
        <v>0</v>
      </c>
      <c r="R258" s="29">
        <v>0</v>
      </c>
      <c r="T258" s="29">
        <v>0</v>
      </c>
      <c r="U258" s="30">
        <f t="shared" si="127"/>
        <v>0</v>
      </c>
      <c r="V258" s="29">
        <v>0</v>
      </c>
    </row>
    <row r="259" spans="1:22">
      <c r="A259" s="52"/>
      <c r="B259" s="53" t="s">
        <v>539</v>
      </c>
      <c r="C259" s="32" t="s">
        <v>540</v>
      </c>
      <c r="D259" s="29">
        <v>0</v>
      </c>
      <c r="E259" s="30">
        <f t="shared" si="124"/>
        <v>-6877.73</v>
      </c>
      <c r="F259" s="93">
        <v>6877.73</v>
      </c>
      <c r="H259" s="29">
        <v>0</v>
      </c>
      <c r="I259" s="30">
        <f t="shared" si="125"/>
        <v>-8814.09</v>
      </c>
      <c r="J259" s="29">
        <v>8814.09</v>
      </c>
      <c r="L259" s="29">
        <v>0</v>
      </c>
      <c r="M259" s="30">
        <f t="shared" si="126"/>
        <v>-8814.09</v>
      </c>
      <c r="N259" s="29">
        <v>8814.09</v>
      </c>
      <c r="P259" s="29">
        <v>0</v>
      </c>
      <c r="Q259" s="30">
        <v>-7145</v>
      </c>
      <c r="R259" s="29">
        <v>7145</v>
      </c>
      <c r="T259" s="29">
        <v>0</v>
      </c>
      <c r="U259" s="30">
        <f t="shared" si="127"/>
        <v>-3890.25</v>
      </c>
      <c r="V259" s="29">
        <v>3890.25</v>
      </c>
    </row>
    <row r="260" spans="1:22">
      <c r="A260" s="52" t="s">
        <v>541</v>
      </c>
      <c r="B260" s="53" t="s">
        <v>542</v>
      </c>
      <c r="C260" s="32" t="s">
        <v>543</v>
      </c>
      <c r="D260" s="29">
        <v>0</v>
      </c>
      <c r="E260" s="30">
        <f t="shared" si="124"/>
        <v>0</v>
      </c>
      <c r="F260" s="29">
        <v>0</v>
      </c>
      <c r="H260" s="29">
        <v>0</v>
      </c>
      <c r="I260" s="30">
        <f t="shared" si="125"/>
        <v>0</v>
      </c>
      <c r="J260" s="29">
        <v>0</v>
      </c>
      <c r="L260" s="29">
        <v>0</v>
      </c>
      <c r="M260" s="30">
        <f t="shared" si="126"/>
        <v>0</v>
      </c>
      <c r="N260" s="29">
        <v>0</v>
      </c>
      <c r="P260" s="29">
        <v>0</v>
      </c>
      <c r="Q260" s="30">
        <v>0</v>
      </c>
      <c r="R260" s="29">
        <v>0</v>
      </c>
      <c r="T260" s="29">
        <v>0</v>
      </c>
      <c r="U260" s="30">
        <f t="shared" si="127"/>
        <v>0</v>
      </c>
      <c r="V260" s="29">
        <v>0</v>
      </c>
    </row>
    <row r="261" spans="1:22">
      <c r="A261" s="52"/>
      <c r="B261" s="53" t="s">
        <v>544</v>
      </c>
      <c r="C261" s="32" t="s">
        <v>545</v>
      </c>
      <c r="D261" s="29">
        <v>0</v>
      </c>
      <c r="E261" s="30">
        <f t="shared" si="124"/>
        <v>-6877.73</v>
      </c>
      <c r="F261" s="93">
        <v>6877.73</v>
      </c>
      <c r="H261" s="29">
        <v>0</v>
      </c>
      <c r="I261" s="30">
        <f t="shared" si="125"/>
        <v>-8814.09</v>
      </c>
      <c r="J261" s="29">
        <v>8814.09</v>
      </c>
      <c r="L261" s="29">
        <v>0</v>
      </c>
      <c r="M261" s="30">
        <f t="shared" si="126"/>
        <v>-8814.09</v>
      </c>
      <c r="N261" s="29">
        <v>8814.09</v>
      </c>
      <c r="P261" s="29">
        <v>0</v>
      </c>
      <c r="Q261" s="30">
        <v>-7145</v>
      </c>
      <c r="R261" s="29">
        <v>7145</v>
      </c>
      <c r="T261" s="29">
        <v>0</v>
      </c>
      <c r="U261" s="30">
        <f t="shared" si="127"/>
        <v>-60959.59</v>
      </c>
      <c r="V261" s="29">
        <v>60959.59</v>
      </c>
    </row>
    <row r="262" spans="1:22">
      <c r="A262" s="52" t="s">
        <v>546</v>
      </c>
      <c r="B262" s="53" t="s">
        <v>547</v>
      </c>
      <c r="C262" s="32" t="s">
        <v>548</v>
      </c>
      <c r="D262" s="29">
        <v>0</v>
      </c>
      <c r="E262" s="30">
        <f t="shared" si="124"/>
        <v>0</v>
      </c>
      <c r="F262" s="29">
        <v>0</v>
      </c>
      <c r="H262" s="29">
        <v>0</v>
      </c>
      <c r="I262" s="30">
        <f t="shared" si="125"/>
        <v>0</v>
      </c>
      <c r="J262" s="29">
        <v>0</v>
      </c>
      <c r="L262" s="29">
        <v>0</v>
      </c>
      <c r="M262" s="30">
        <f t="shared" si="126"/>
        <v>0</v>
      </c>
      <c r="N262" s="29">
        <v>0</v>
      </c>
      <c r="P262" s="29">
        <v>0</v>
      </c>
      <c r="Q262" s="30">
        <v>0</v>
      </c>
      <c r="R262" s="29">
        <v>0</v>
      </c>
      <c r="T262" s="29">
        <v>0</v>
      </c>
      <c r="U262" s="30">
        <f t="shared" si="127"/>
        <v>0</v>
      </c>
      <c r="V262" s="29">
        <v>0</v>
      </c>
    </row>
    <row r="263" spans="1:22">
      <c r="A263" s="52"/>
      <c r="B263" s="53" t="s">
        <v>549</v>
      </c>
      <c r="C263" s="32" t="s">
        <v>550</v>
      </c>
      <c r="D263" s="29">
        <v>0</v>
      </c>
      <c r="E263" s="30">
        <f t="shared" si="124"/>
        <v>-6877.73</v>
      </c>
      <c r="F263" s="29">
        <v>6877.73</v>
      </c>
      <c r="H263" s="29">
        <v>0</v>
      </c>
      <c r="I263" s="30">
        <f t="shared" si="125"/>
        <v>-8814.09</v>
      </c>
      <c r="J263" s="29">
        <v>8814.09</v>
      </c>
      <c r="L263" s="29">
        <v>0</v>
      </c>
      <c r="M263" s="30">
        <f t="shared" si="126"/>
        <v>-8814.09</v>
      </c>
      <c r="N263" s="29">
        <v>8814.09</v>
      </c>
      <c r="P263" s="29">
        <v>0</v>
      </c>
      <c r="Q263" s="30">
        <v>-7145</v>
      </c>
      <c r="R263" s="29">
        <v>7145</v>
      </c>
      <c r="T263" s="29">
        <v>0</v>
      </c>
      <c r="U263" s="30">
        <f t="shared" si="127"/>
        <v>-2786.15</v>
      </c>
      <c r="V263" s="29">
        <v>2786.15</v>
      </c>
    </row>
    <row r="264" spans="1:22">
      <c r="A264" s="52" t="s">
        <v>551</v>
      </c>
      <c r="B264" s="53" t="s">
        <v>552</v>
      </c>
      <c r="C264" s="32" t="s">
        <v>553</v>
      </c>
      <c r="D264" s="29">
        <v>0</v>
      </c>
      <c r="E264" s="30">
        <f t="shared" si="124"/>
        <v>0</v>
      </c>
      <c r="F264" s="29">
        <v>0</v>
      </c>
      <c r="H264" s="29">
        <v>0</v>
      </c>
      <c r="I264" s="30">
        <f t="shared" si="125"/>
        <v>0</v>
      </c>
      <c r="J264" s="29">
        <v>0</v>
      </c>
      <c r="L264" s="29">
        <v>0</v>
      </c>
      <c r="M264" s="30">
        <f t="shared" si="126"/>
        <v>0</v>
      </c>
      <c r="N264" s="29">
        <v>0</v>
      </c>
      <c r="P264" s="29">
        <v>0</v>
      </c>
      <c r="Q264" s="30">
        <v>0</v>
      </c>
      <c r="R264" s="29">
        <v>0</v>
      </c>
      <c r="T264" s="29">
        <v>0</v>
      </c>
      <c r="U264" s="30">
        <f t="shared" si="127"/>
        <v>0</v>
      </c>
      <c r="V264" s="29">
        <v>0</v>
      </c>
    </row>
    <row r="265" spans="1:22">
      <c r="A265" s="52"/>
      <c r="B265" s="53" t="s">
        <v>554</v>
      </c>
      <c r="C265" s="32" t="s">
        <v>555</v>
      </c>
      <c r="D265" s="29">
        <v>0</v>
      </c>
      <c r="E265" s="30">
        <f t="shared" si="124"/>
        <v>-6877.73</v>
      </c>
      <c r="F265" s="93">
        <v>6877.73</v>
      </c>
      <c r="H265" s="29">
        <v>0</v>
      </c>
      <c r="I265" s="30">
        <f t="shared" si="125"/>
        <v>-8814.09</v>
      </c>
      <c r="J265" s="29">
        <v>8814.09</v>
      </c>
      <c r="L265" s="29">
        <v>0</v>
      </c>
      <c r="M265" s="30">
        <f t="shared" si="126"/>
        <v>-8814.09</v>
      </c>
      <c r="N265" s="29">
        <v>8814.09</v>
      </c>
      <c r="P265" s="29">
        <v>0</v>
      </c>
      <c r="Q265" s="30">
        <v>-7145</v>
      </c>
      <c r="R265" s="29">
        <v>7145</v>
      </c>
      <c r="T265" s="29">
        <v>0</v>
      </c>
      <c r="U265" s="30">
        <f t="shared" si="127"/>
        <v>-6718.96</v>
      </c>
      <c r="V265" s="29">
        <v>6718.96</v>
      </c>
    </row>
    <row r="266" spans="1:22">
      <c r="A266" s="52" t="s">
        <v>556</v>
      </c>
      <c r="B266" s="53" t="s">
        <v>557</v>
      </c>
      <c r="C266" s="32" t="s">
        <v>558</v>
      </c>
      <c r="D266" s="29">
        <v>0</v>
      </c>
      <c r="E266" s="30">
        <f t="shared" si="124"/>
        <v>0</v>
      </c>
      <c r="F266" s="29">
        <v>0</v>
      </c>
      <c r="H266" s="29">
        <v>0</v>
      </c>
      <c r="I266" s="30">
        <f t="shared" si="125"/>
        <v>0</v>
      </c>
      <c r="J266" s="29">
        <v>0</v>
      </c>
      <c r="L266" s="29">
        <v>0</v>
      </c>
      <c r="M266" s="30">
        <f t="shared" si="126"/>
        <v>0</v>
      </c>
      <c r="N266" s="29">
        <v>0</v>
      </c>
      <c r="P266" s="29">
        <v>0</v>
      </c>
      <c r="Q266" s="30">
        <v>0</v>
      </c>
      <c r="R266" s="29">
        <v>0</v>
      </c>
      <c r="T266" s="29">
        <v>0</v>
      </c>
      <c r="U266" s="30">
        <f t="shared" si="127"/>
        <v>0</v>
      </c>
      <c r="V266" s="29">
        <v>0</v>
      </c>
    </row>
    <row r="267" spans="1:22">
      <c r="A267" s="52"/>
      <c r="B267" s="53" t="s">
        <v>559</v>
      </c>
      <c r="C267" s="32" t="s">
        <v>560</v>
      </c>
      <c r="D267" s="29">
        <v>0</v>
      </c>
      <c r="E267" s="30">
        <f t="shared" si="124"/>
        <v>-6877.73</v>
      </c>
      <c r="F267" s="93">
        <v>6877.73</v>
      </c>
      <c r="H267" s="29">
        <v>0</v>
      </c>
      <c r="I267" s="30">
        <f t="shared" si="125"/>
        <v>-8814.09</v>
      </c>
      <c r="J267" s="29">
        <v>8814.09</v>
      </c>
      <c r="L267" s="29">
        <v>0</v>
      </c>
      <c r="M267" s="30">
        <f t="shared" si="126"/>
        <v>-8814.09</v>
      </c>
      <c r="N267" s="29">
        <v>8814.09</v>
      </c>
      <c r="P267" s="29">
        <v>0</v>
      </c>
      <c r="Q267" s="30">
        <v>-7145</v>
      </c>
      <c r="R267" s="29">
        <v>7145</v>
      </c>
      <c r="T267" s="29">
        <v>0</v>
      </c>
      <c r="U267" s="30">
        <f t="shared" si="127"/>
        <v>-9521.83</v>
      </c>
      <c r="V267" s="29">
        <v>9521.83</v>
      </c>
    </row>
    <row r="268" spans="1:22">
      <c r="A268" s="52" t="s">
        <v>561</v>
      </c>
      <c r="B268" s="53" t="s">
        <v>562</v>
      </c>
      <c r="C268" s="32" t="s">
        <v>563</v>
      </c>
      <c r="D268" s="29">
        <v>0</v>
      </c>
      <c r="E268" s="30">
        <f t="shared" si="124"/>
        <v>0</v>
      </c>
      <c r="F268" s="29">
        <v>0</v>
      </c>
      <c r="H268" s="29">
        <v>0</v>
      </c>
      <c r="I268" s="30">
        <f t="shared" si="125"/>
        <v>0</v>
      </c>
      <c r="J268" s="29">
        <v>0</v>
      </c>
      <c r="L268" s="29">
        <v>0</v>
      </c>
      <c r="M268" s="30">
        <f t="shared" si="126"/>
        <v>0</v>
      </c>
      <c r="N268" s="29">
        <v>0</v>
      </c>
      <c r="P268" s="29">
        <v>0</v>
      </c>
      <c r="Q268" s="30">
        <v>0</v>
      </c>
      <c r="R268" s="29">
        <v>0</v>
      </c>
      <c r="T268" s="29">
        <v>0</v>
      </c>
      <c r="U268" s="30">
        <f t="shared" si="127"/>
        <v>0</v>
      </c>
      <c r="V268" s="29">
        <v>0</v>
      </c>
    </row>
    <row r="269" spans="1:22">
      <c r="A269" s="52"/>
      <c r="B269" s="53" t="s">
        <v>564</v>
      </c>
      <c r="C269" s="32" t="s">
        <v>565</v>
      </c>
      <c r="D269" s="29">
        <v>0</v>
      </c>
      <c r="E269" s="30">
        <f t="shared" si="124"/>
        <v>-6877.73</v>
      </c>
      <c r="F269" s="93">
        <v>6877.73</v>
      </c>
      <c r="H269" s="29">
        <v>0</v>
      </c>
      <c r="I269" s="30">
        <f t="shared" si="125"/>
        <v>-8814.09</v>
      </c>
      <c r="J269" s="29">
        <v>8814.09</v>
      </c>
      <c r="L269" s="29">
        <v>0</v>
      </c>
      <c r="M269" s="30">
        <f t="shared" si="126"/>
        <v>-8814.09</v>
      </c>
      <c r="N269" s="29">
        <v>8814.09</v>
      </c>
      <c r="P269" s="29">
        <v>0</v>
      </c>
      <c r="Q269" s="30">
        <v>-7145</v>
      </c>
      <c r="R269" s="29">
        <v>7145</v>
      </c>
      <c r="T269" s="29">
        <v>0</v>
      </c>
      <c r="U269" s="30">
        <f t="shared" si="127"/>
        <v>-4868.8500000000004</v>
      </c>
      <c r="V269" s="29">
        <v>4868.8500000000004</v>
      </c>
    </row>
    <row r="270" spans="1:22">
      <c r="A270" s="52" t="s">
        <v>566</v>
      </c>
      <c r="B270" s="53" t="s">
        <v>567</v>
      </c>
      <c r="C270" s="32" t="s">
        <v>568</v>
      </c>
      <c r="D270" s="29">
        <v>0</v>
      </c>
      <c r="E270" s="30">
        <f t="shared" si="124"/>
        <v>0</v>
      </c>
      <c r="F270" s="29">
        <v>0</v>
      </c>
      <c r="H270" s="29">
        <v>0</v>
      </c>
      <c r="I270" s="30">
        <f t="shared" si="125"/>
        <v>0</v>
      </c>
      <c r="J270" s="29">
        <v>0</v>
      </c>
      <c r="L270" s="29">
        <v>0</v>
      </c>
      <c r="M270" s="30">
        <f t="shared" si="126"/>
        <v>0</v>
      </c>
      <c r="N270" s="29">
        <v>0</v>
      </c>
      <c r="P270" s="29">
        <v>0</v>
      </c>
      <c r="Q270" s="30">
        <v>0</v>
      </c>
      <c r="R270" s="29">
        <v>0</v>
      </c>
      <c r="T270" s="29">
        <v>0</v>
      </c>
      <c r="U270" s="30">
        <f t="shared" si="127"/>
        <v>0</v>
      </c>
      <c r="V270" s="29">
        <v>0</v>
      </c>
    </row>
    <row r="271" spans="1:22">
      <c r="A271" s="52"/>
      <c r="B271" s="53" t="s">
        <v>569</v>
      </c>
      <c r="C271" s="32" t="s">
        <v>570</v>
      </c>
      <c r="D271" s="29">
        <v>0</v>
      </c>
      <c r="E271" s="30">
        <f t="shared" si="124"/>
        <v>-6877.73</v>
      </c>
      <c r="F271" s="93">
        <v>6877.73</v>
      </c>
      <c r="H271" s="29">
        <v>0</v>
      </c>
      <c r="I271" s="30">
        <f t="shared" si="125"/>
        <v>-8814.09</v>
      </c>
      <c r="J271" s="29">
        <v>8814.09</v>
      </c>
      <c r="L271" s="29">
        <v>0</v>
      </c>
      <c r="M271" s="30">
        <f t="shared" si="126"/>
        <v>-8814.09</v>
      </c>
      <c r="N271" s="29">
        <v>8814.09</v>
      </c>
      <c r="P271" s="29">
        <v>0</v>
      </c>
      <c r="Q271" s="30">
        <v>-7145</v>
      </c>
      <c r="R271" s="29">
        <v>7145</v>
      </c>
      <c r="T271" s="29">
        <v>0</v>
      </c>
      <c r="U271" s="30">
        <f t="shared" si="127"/>
        <v>-9260.4699999999993</v>
      </c>
      <c r="V271" s="29">
        <v>9260.4699999999993</v>
      </c>
    </row>
    <row r="272" spans="1:22">
      <c r="A272" s="52" t="s">
        <v>571</v>
      </c>
      <c r="B272" s="53" t="s">
        <v>572</v>
      </c>
      <c r="C272" s="32" t="s">
        <v>573</v>
      </c>
      <c r="D272" s="29">
        <v>0</v>
      </c>
      <c r="E272" s="30">
        <f t="shared" si="124"/>
        <v>0</v>
      </c>
      <c r="F272" s="29">
        <v>0</v>
      </c>
      <c r="H272" s="29">
        <v>0</v>
      </c>
      <c r="I272" s="30">
        <f t="shared" si="125"/>
        <v>0</v>
      </c>
      <c r="J272" s="29">
        <v>0</v>
      </c>
      <c r="L272" s="29">
        <v>0</v>
      </c>
      <c r="M272" s="30">
        <f t="shared" si="126"/>
        <v>0</v>
      </c>
      <c r="N272" s="29">
        <v>0</v>
      </c>
      <c r="P272" s="29">
        <v>0</v>
      </c>
      <c r="Q272" s="30">
        <v>0</v>
      </c>
      <c r="R272" s="29">
        <v>0</v>
      </c>
      <c r="T272" s="29">
        <v>0</v>
      </c>
      <c r="U272" s="30">
        <f t="shared" si="127"/>
        <v>0</v>
      </c>
      <c r="V272" s="29">
        <v>0</v>
      </c>
    </row>
    <row r="273" spans="1:22">
      <c r="A273" s="52"/>
      <c r="B273" s="53" t="s">
        <v>574</v>
      </c>
      <c r="C273" s="32" t="s">
        <v>575</v>
      </c>
      <c r="D273" s="29">
        <v>0</v>
      </c>
      <c r="E273" s="30">
        <f t="shared" si="124"/>
        <v>-6877.73</v>
      </c>
      <c r="F273" s="93">
        <v>6877.73</v>
      </c>
      <c r="H273" s="29">
        <v>0</v>
      </c>
      <c r="I273" s="30">
        <f t="shared" si="125"/>
        <v>-8814.09</v>
      </c>
      <c r="J273" s="29">
        <v>8814.09</v>
      </c>
      <c r="L273" s="29">
        <v>0</v>
      </c>
      <c r="M273" s="30">
        <f t="shared" si="126"/>
        <v>-8814.09</v>
      </c>
      <c r="N273" s="29">
        <v>8814.09</v>
      </c>
      <c r="P273" s="29">
        <v>0</v>
      </c>
      <c r="Q273" s="30">
        <v>-7145</v>
      </c>
      <c r="R273" s="29">
        <v>7145</v>
      </c>
      <c r="T273" s="29">
        <v>0</v>
      </c>
      <c r="U273" s="30">
        <f t="shared" si="127"/>
        <v>-6107.07</v>
      </c>
      <c r="V273" s="29">
        <v>6107.07</v>
      </c>
    </row>
    <row r="274" spans="1:22">
      <c r="A274" s="52" t="s">
        <v>576</v>
      </c>
      <c r="B274" s="53" t="s">
        <v>577</v>
      </c>
      <c r="C274" s="32" t="s">
        <v>578</v>
      </c>
      <c r="D274" s="29">
        <v>0</v>
      </c>
      <c r="E274" s="30">
        <f t="shared" si="124"/>
        <v>0</v>
      </c>
      <c r="F274" s="29">
        <v>0</v>
      </c>
      <c r="H274" s="29">
        <v>0</v>
      </c>
      <c r="I274" s="30">
        <f t="shared" si="125"/>
        <v>0</v>
      </c>
      <c r="J274" s="29">
        <v>0</v>
      </c>
      <c r="L274" s="29">
        <v>0</v>
      </c>
      <c r="M274" s="30">
        <f t="shared" si="126"/>
        <v>0</v>
      </c>
      <c r="N274" s="29">
        <v>0</v>
      </c>
      <c r="P274" s="29">
        <v>0</v>
      </c>
      <c r="Q274" s="30">
        <v>0</v>
      </c>
      <c r="R274" s="29">
        <v>0</v>
      </c>
      <c r="T274" s="29">
        <v>0</v>
      </c>
      <c r="U274" s="30">
        <f t="shared" si="127"/>
        <v>0</v>
      </c>
      <c r="V274" s="29">
        <v>0</v>
      </c>
    </row>
    <row r="275" spans="1:22">
      <c r="A275" s="52"/>
      <c r="B275" s="53" t="s">
        <v>579</v>
      </c>
      <c r="C275" s="32" t="s">
        <v>580</v>
      </c>
      <c r="D275" s="29">
        <v>0</v>
      </c>
      <c r="E275" s="30">
        <f t="shared" si="124"/>
        <v>-6877.73</v>
      </c>
      <c r="F275" s="93">
        <v>6877.73</v>
      </c>
      <c r="H275" s="29">
        <v>0</v>
      </c>
      <c r="I275" s="30">
        <f t="shared" si="125"/>
        <v>-8814.09</v>
      </c>
      <c r="J275" s="29">
        <v>8814.09</v>
      </c>
      <c r="L275" s="29">
        <v>0</v>
      </c>
      <c r="M275" s="30">
        <f t="shared" si="126"/>
        <v>-8814.09</v>
      </c>
      <c r="N275" s="29">
        <v>8814.09</v>
      </c>
      <c r="P275" s="29">
        <v>0</v>
      </c>
      <c r="Q275" s="30">
        <v>-7145</v>
      </c>
      <c r="R275" s="29">
        <v>7145</v>
      </c>
      <c r="T275" s="29">
        <v>0</v>
      </c>
      <c r="U275" s="30">
        <f t="shared" si="127"/>
        <v>-6436.61</v>
      </c>
      <c r="V275" s="29">
        <v>6436.61</v>
      </c>
    </row>
    <row r="276" spans="1:22">
      <c r="A276" s="52" t="s">
        <v>581</v>
      </c>
      <c r="B276" s="53" t="s">
        <v>582</v>
      </c>
      <c r="C276" s="32" t="s">
        <v>583</v>
      </c>
      <c r="D276" s="29">
        <v>0</v>
      </c>
      <c r="E276" s="30">
        <f t="shared" si="124"/>
        <v>0</v>
      </c>
      <c r="F276" s="29">
        <v>0</v>
      </c>
      <c r="H276" s="29">
        <v>0</v>
      </c>
      <c r="I276" s="30">
        <f t="shared" si="125"/>
        <v>0</v>
      </c>
      <c r="J276" s="29">
        <v>0</v>
      </c>
      <c r="L276" s="29">
        <v>0</v>
      </c>
      <c r="M276" s="30">
        <f t="shared" si="126"/>
        <v>0</v>
      </c>
      <c r="N276" s="29">
        <v>0</v>
      </c>
      <c r="P276" s="29">
        <v>0</v>
      </c>
      <c r="Q276" s="30">
        <v>0</v>
      </c>
      <c r="R276" s="29">
        <v>0</v>
      </c>
      <c r="T276" s="29">
        <v>0</v>
      </c>
      <c r="U276" s="30">
        <f t="shared" si="127"/>
        <v>0</v>
      </c>
      <c r="V276" s="29">
        <v>0</v>
      </c>
    </row>
    <row r="277" spans="1:22">
      <c r="A277" s="52"/>
      <c r="B277" s="53" t="s">
        <v>584</v>
      </c>
      <c r="C277" s="32" t="s">
        <v>585</v>
      </c>
      <c r="D277" s="29">
        <v>0</v>
      </c>
      <c r="E277" s="30">
        <f t="shared" si="124"/>
        <v>-6877.73</v>
      </c>
      <c r="F277" s="93">
        <v>6877.73</v>
      </c>
      <c r="H277" s="29">
        <v>0</v>
      </c>
      <c r="I277" s="30">
        <f t="shared" si="125"/>
        <v>-8814.09</v>
      </c>
      <c r="J277" s="29">
        <v>8814.09</v>
      </c>
      <c r="L277" s="29">
        <v>0</v>
      </c>
      <c r="M277" s="30">
        <f t="shared" si="126"/>
        <v>-8814.09</v>
      </c>
      <c r="N277" s="29">
        <v>8814.09</v>
      </c>
      <c r="P277" s="29">
        <v>0</v>
      </c>
      <c r="Q277" s="30">
        <v>-7145</v>
      </c>
      <c r="R277" s="29">
        <v>7145</v>
      </c>
      <c r="T277" s="29">
        <v>0</v>
      </c>
      <c r="U277" s="30">
        <f t="shared" si="127"/>
        <v>-8557.3799999999992</v>
      </c>
      <c r="V277" s="29">
        <v>8557.3799999999992</v>
      </c>
    </row>
    <row r="278" spans="1:22">
      <c r="A278" s="52" t="s">
        <v>586</v>
      </c>
      <c r="B278" s="53" t="s">
        <v>587</v>
      </c>
      <c r="C278" s="32" t="s">
        <v>588</v>
      </c>
      <c r="D278" s="29">
        <v>0</v>
      </c>
      <c r="E278" s="30">
        <f t="shared" si="124"/>
        <v>0</v>
      </c>
      <c r="F278" s="29">
        <v>0</v>
      </c>
      <c r="H278" s="29">
        <v>0</v>
      </c>
      <c r="I278" s="30">
        <f t="shared" si="125"/>
        <v>0</v>
      </c>
      <c r="J278" s="29">
        <v>0</v>
      </c>
      <c r="L278" s="29">
        <v>0</v>
      </c>
      <c r="M278" s="30">
        <f t="shared" si="126"/>
        <v>0</v>
      </c>
      <c r="N278" s="29">
        <v>0</v>
      </c>
      <c r="P278" s="29">
        <v>0</v>
      </c>
      <c r="Q278" s="30">
        <v>0</v>
      </c>
      <c r="R278" s="29">
        <v>0</v>
      </c>
      <c r="T278" s="29">
        <v>0</v>
      </c>
      <c r="U278" s="30">
        <f t="shared" si="127"/>
        <v>0</v>
      </c>
      <c r="V278" s="29">
        <v>0</v>
      </c>
    </row>
    <row r="279" spans="1:22">
      <c r="A279" s="52"/>
      <c r="B279" s="53" t="s">
        <v>589</v>
      </c>
      <c r="C279" s="32" t="s">
        <v>590</v>
      </c>
      <c r="D279" s="29">
        <v>0</v>
      </c>
      <c r="E279" s="30">
        <f t="shared" si="124"/>
        <v>-6877.73</v>
      </c>
      <c r="F279" s="93">
        <v>6877.73</v>
      </c>
      <c r="H279" s="29">
        <v>0</v>
      </c>
      <c r="I279" s="30">
        <f t="shared" si="125"/>
        <v>-8814.09</v>
      </c>
      <c r="J279" s="29">
        <v>8814.09</v>
      </c>
      <c r="L279" s="29">
        <v>0</v>
      </c>
      <c r="M279" s="30">
        <f t="shared" si="126"/>
        <v>-8814.09</v>
      </c>
      <c r="N279" s="29">
        <v>8814.09</v>
      </c>
      <c r="P279" s="29">
        <v>0</v>
      </c>
      <c r="Q279" s="30">
        <v>-7145</v>
      </c>
      <c r="R279" s="29">
        <v>7145</v>
      </c>
      <c r="T279" s="29">
        <v>0</v>
      </c>
      <c r="U279" s="30">
        <f t="shared" si="127"/>
        <v>-3007.66</v>
      </c>
      <c r="V279" s="29">
        <v>3007.66</v>
      </c>
    </row>
    <row r="280" spans="1:22">
      <c r="A280" s="52" t="s">
        <v>591</v>
      </c>
      <c r="B280" s="53" t="s">
        <v>592</v>
      </c>
      <c r="C280" s="32" t="s">
        <v>593</v>
      </c>
      <c r="D280" s="29">
        <v>0</v>
      </c>
      <c r="E280" s="30">
        <f t="shared" si="124"/>
        <v>0</v>
      </c>
      <c r="F280" s="29">
        <v>0</v>
      </c>
      <c r="H280" s="29">
        <v>0</v>
      </c>
      <c r="I280" s="30">
        <f t="shared" si="125"/>
        <v>0</v>
      </c>
      <c r="J280" s="29">
        <v>0</v>
      </c>
      <c r="L280" s="29">
        <v>0</v>
      </c>
      <c r="M280" s="30">
        <f t="shared" si="126"/>
        <v>0</v>
      </c>
      <c r="N280" s="29">
        <v>0</v>
      </c>
      <c r="P280" s="29">
        <v>0</v>
      </c>
      <c r="Q280" s="30">
        <v>0</v>
      </c>
      <c r="R280" s="29">
        <v>0</v>
      </c>
      <c r="T280" s="29">
        <v>0</v>
      </c>
      <c r="U280" s="30">
        <f t="shared" si="127"/>
        <v>0</v>
      </c>
      <c r="V280" s="29">
        <v>0</v>
      </c>
    </row>
    <row r="281" spans="1:22">
      <c r="A281" s="52"/>
      <c r="B281" s="53" t="s">
        <v>594</v>
      </c>
      <c r="C281" s="32" t="s">
        <v>595</v>
      </c>
      <c r="D281" s="29">
        <v>0</v>
      </c>
      <c r="E281" s="30">
        <f t="shared" si="124"/>
        <v>-6877.73</v>
      </c>
      <c r="F281" s="93">
        <v>6877.73</v>
      </c>
      <c r="H281" s="29">
        <v>0</v>
      </c>
      <c r="I281" s="30">
        <f t="shared" si="125"/>
        <v>-8814.09</v>
      </c>
      <c r="J281" s="29">
        <v>8814.09</v>
      </c>
      <c r="L281" s="29">
        <v>0</v>
      </c>
      <c r="M281" s="30">
        <f t="shared" si="126"/>
        <v>-8814.09</v>
      </c>
      <c r="N281" s="29">
        <v>8814.09</v>
      </c>
      <c r="P281" s="29">
        <v>0</v>
      </c>
      <c r="Q281" s="30">
        <v>-7145</v>
      </c>
      <c r="R281" s="29">
        <v>7145</v>
      </c>
      <c r="T281" s="29">
        <v>0</v>
      </c>
      <c r="U281" s="30">
        <f t="shared" si="127"/>
        <v>-4370.2</v>
      </c>
      <c r="V281" s="29">
        <v>4370.2</v>
      </c>
    </row>
    <row r="282" spans="1:22">
      <c r="A282" s="52" t="s">
        <v>596</v>
      </c>
      <c r="B282" s="53" t="s">
        <v>597</v>
      </c>
      <c r="C282" s="32" t="s">
        <v>598</v>
      </c>
      <c r="D282" s="29">
        <v>0</v>
      </c>
      <c r="E282" s="30">
        <f t="shared" si="124"/>
        <v>0</v>
      </c>
      <c r="F282" s="29">
        <v>0</v>
      </c>
      <c r="H282" s="29">
        <v>0</v>
      </c>
      <c r="I282" s="30">
        <f t="shared" si="125"/>
        <v>0</v>
      </c>
      <c r="J282" s="29">
        <v>0</v>
      </c>
      <c r="L282" s="29">
        <v>0</v>
      </c>
      <c r="M282" s="30">
        <f t="shared" si="126"/>
        <v>0</v>
      </c>
      <c r="N282" s="29">
        <v>0</v>
      </c>
      <c r="P282" s="29">
        <v>0</v>
      </c>
      <c r="Q282" s="30">
        <v>0</v>
      </c>
      <c r="R282" s="29">
        <v>0</v>
      </c>
      <c r="T282" s="29">
        <v>0</v>
      </c>
      <c r="U282" s="30">
        <f t="shared" si="127"/>
        <v>0</v>
      </c>
      <c r="V282" s="29">
        <v>0</v>
      </c>
    </row>
    <row r="283" spans="1:22">
      <c r="A283" s="52"/>
      <c r="B283" s="53" t="s">
        <v>599</v>
      </c>
      <c r="C283" s="32" t="s">
        <v>600</v>
      </c>
      <c r="D283" s="29">
        <v>0</v>
      </c>
      <c r="E283" s="30">
        <f t="shared" si="124"/>
        <v>-6877.73</v>
      </c>
      <c r="F283" s="93">
        <v>6877.73</v>
      </c>
      <c r="H283" s="29">
        <v>0</v>
      </c>
      <c r="I283" s="30">
        <f t="shared" si="125"/>
        <v>-8814.09</v>
      </c>
      <c r="J283" s="29">
        <v>8814.09</v>
      </c>
      <c r="L283" s="29">
        <v>0</v>
      </c>
      <c r="M283" s="30">
        <f t="shared" si="126"/>
        <v>-8814.09</v>
      </c>
      <c r="N283" s="29">
        <v>8814.09</v>
      </c>
      <c r="P283" s="29">
        <v>0</v>
      </c>
      <c r="Q283" s="30">
        <v>-7145</v>
      </c>
      <c r="R283" s="29">
        <v>7145</v>
      </c>
      <c r="T283" s="29">
        <v>0</v>
      </c>
      <c r="U283" s="30">
        <f t="shared" si="127"/>
        <v>-2935.69</v>
      </c>
      <c r="V283" s="29">
        <v>2935.69</v>
      </c>
    </row>
    <row r="284" spans="1:22">
      <c r="A284" s="52" t="s">
        <v>601</v>
      </c>
      <c r="B284" s="53" t="s">
        <v>602</v>
      </c>
      <c r="C284" s="32" t="s">
        <v>603</v>
      </c>
      <c r="D284" s="29">
        <v>0</v>
      </c>
      <c r="E284" s="30">
        <f t="shared" si="124"/>
        <v>0</v>
      </c>
      <c r="F284" s="29">
        <v>0</v>
      </c>
      <c r="H284" s="29">
        <v>0</v>
      </c>
      <c r="I284" s="30">
        <f t="shared" si="125"/>
        <v>0</v>
      </c>
      <c r="J284" s="29">
        <v>0</v>
      </c>
      <c r="L284" s="29">
        <v>0</v>
      </c>
      <c r="M284" s="30">
        <f t="shared" si="126"/>
        <v>0</v>
      </c>
      <c r="N284" s="29">
        <v>0</v>
      </c>
      <c r="P284" s="29">
        <v>0</v>
      </c>
      <c r="Q284" s="30">
        <v>0</v>
      </c>
      <c r="R284" s="29">
        <v>0</v>
      </c>
      <c r="T284" s="29">
        <v>0</v>
      </c>
      <c r="U284" s="30">
        <f t="shared" si="127"/>
        <v>0</v>
      </c>
      <c r="V284" s="29">
        <v>0</v>
      </c>
    </row>
    <row r="285" spans="1:22">
      <c r="A285" s="52"/>
      <c r="B285" s="53" t="s">
        <v>604</v>
      </c>
      <c r="C285" s="32" t="s">
        <v>605</v>
      </c>
      <c r="D285" s="29">
        <v>0</v>
      </c>
      <c r="E285" s="30">
        <f t="shared" si="124"/>
        <v>-6877.73</v>
      </c>
      <c r="F285" s="93">
        <v>6877.73</v>
      </c>
      <c r="H285" s="29">
        <v>0</v>
      </c>
      <c r="I285" s="30">
        <f t="shared" si="125"/>
        <v>-8814.09</v>
      </c>
      <c r="J285" s="29">
        <v>8814.09</v>
      </c>
      <c r="L285" s="29">
        <v>0</v>
      </c>
      <c r="M285" s="30">
        <f t="shared" si="126"/>
        <v>-8814.09</v>
      </c>
      <c r="N285" s="29">
        <v>8814.09</v>
      </c>
      <c r="P285" s="29">
        <v>0</v>
      </c>
      <c r="Q285" s="30">
        <v>-7145</v>
      </c>
      <c r="R285" s="29">
        <v>7145</v>
      </c>
      <c r="T285" s="29">
        <v>0</v>
      </c>
      <c r="U285" s="30">
        <f t="shared" si="127"/>
        <v>-8272.83</v>
      </c>
      <c r="V285" s="29">
        <v>8272.83</v>
      </c>
    </row>
    <row r="286" spans="1:22">
      <c r="A286" s="52" t="s">
        <v>606</v>
      </c>
      <c r="B286" s="53" t="s">
        <v>607</v>
      </c>
      <c r="C286" s="32" t="s">
        <v>608</v>
      </c>
      <c r="D286" s="29">
        <v>0</v>
      </c>
      <c r="E286" s="30">
        <f t="shared" si="124"/>
        <v>0</v>
      </c>
      <c r="F286" s="29">
        <v>0</v>
      </c>
      <c r="H286" s="29">
        <v>0</v>
      </c>
      <c r="I286" s="30">
        <f t="shared" si="125"/>
        <v>0</v>
      </c>
      <c r="J286" s="29">
        <v>0</v>
      </c>
      <c r="L286" s="29">
        <v>0</v>
      </c>
      <c r="M286" s="30">
        <f t="shared" si="126"/>
        <v>0</v>
      </c>
      <c r="N286" s="29">
        <v>0</v>
      </c>
      <c r="P286" s="29">
        <v>0</v>
      </c>
      <c r="Q286" s="30">
        <v>0</v>
      </c>
      <c r="R286" s="29">
        <v>0</v>
      </c>
      <c r="T286" s="29">
        <v>0</v>
      </c>
      <c r="U286" s="30">
        <f t="shared" si="127"/>
        <v>0</v>
      </c>
      <c r="V286" s="29">
        <v>0</v>
      </c>
    </row>
    <row r="287" spans="1:22">
      <c r="A287" s="52"/>
      <c r="B287" s="53" t="s">
        <v>609</v>
      </c>
      <c r="C287" s="32" t="s">
        <v>610</v>
      </c>
      <c r="D287" s="29">
        <v>0</v>
      </c>
      <c r="E287" s="30">
        <f t="shared" si="124"/>
        <v>-6877.73</v>
      </c>
      <c r="F287" s="93">
        <v>6877.73</v>
      </c>
      <c r="H287" s="29">
        <v>0</v>
      </c>
      <c r="I287" s="30">
        <f t="shared" si="125"/>
        <v>-8814.09</v>
      </c>
      <c r="J287" s="29">
        <v>8814.09</v>
      </c>
      <c r="L287" s="29">
        <v>0</v>
      </c>
      <c r="M287" s="30">
        <f t="shared" si="126"/>
        <v>-8814.09</v>
      </c>
      <c r="N287" s="29">
        <v>8814.09</v>
      </c>
      <c r="P287" s="29">
        <v>0</v>
      </c>
      <c r="Q287" s="30">
        <v>-7145</v>
      </c>
      <c r="R287" s="29">
        <v>7145</v>
      </c>
      <c r="T287" s="29">
        <v>0</v>
      </c>
      <c r="U287" s="30">
        <f t="shared" si="127"/>
        <v>-5930.91</v>
      </c>
      <c r="V287" s="29">
        <v>5930.91</v>
      </c>
    </row>
    <row r="288" spans="1:22">
      <c r="A288" s="52" t="s">
        <v>611</v>
      </c>
      <c r="B288" s="53" t="s">
        <v>612</v>
      </c>
      <c r="C288" s="32" t="s">
        <v>613</v>
      </c>
      <c r="D288" s="29">
        <v>0</v>
      </c>
      <c r="E288" s="30">
        <f t="shared" si="124"/>
        <v>0</v>
      </c>
      <c r="F288" s="29">
        <v>0</v>
      </c>
      <c r="H288" s="29">
        <v>0</v>
      </c>
      <c r="I288" s="30">
        <f t="shared" si="125"/>
        <v>0</v>
      </c>
      <c r="J288" s="29">
        <v>0</v>
      </c>
      <c r="L288" s="29">
        <v>0</v>
      </c>
      <c r="M288" s="30">
        <f t="shared" si="126"/>
        <v>0</v>
      </c>
      <c r="N288" s="29">
        <v>0</v>
      </c>
      <c r="P288" s="29">
        <v>0</v>
      </c>
      <c r="Q288" s="30">
        <v>0</v>
      </c>
      <c r="R288" s="29">
        <v>0</v>
      </c>
      <c r="T288" s="29">
        <v>0</v>
      </c>
      <c r="U288" s="30">
        <f t="shared" si="127"/>
        <v>0</v>
      </c>
      <c r="V288" s="29">
        <v>0</v>
      </c>
    </row>
    <row r="289" spans="1:22">
      <c r="A289" s="52"/>
      <c r="B289" s="53" t="s">
        <v>614</v>
      </c>
      <c r="C289" s="32" t="s">
        <v>615</v>
      </c>
      <c r="D289" s="29">
        <v>0</v>
      </c>
      <c r="E289" s="30">
        <f t="shared" si="124"/>
        <v>-6877.73</v>
      </c>
      <c r="F289" s="93">
        <v>6877.73</v>
      </c>
      <c r="H289" s="29">
        <v>0</v>
      </c>
      <c r="I289" s="30">
        <f t="shared" si="125"/>
        <v>-8814.09</v>
      </c>
      <c r="J289" s="29">
        <v>8814.09</v>
      </c>
      <c r="L289" s="29">
        <v>0</v>
      </c>
      <c r="M289" s="30">
        <f t="shared" si="126"/>
        <v>-8814.09</v>
      </c>
      <c r="N289" s="29">
        <v>8814.09</v>
      </c>
      <c r="P289" s="29">
        <v>0</v>
      </c>
      <c r="Q289" s="30">
        <v>-7145</v>
      </c>
      <c r="R289" s="29">
        <v>7145</v>
      </c>
      <c r="T289" s="29">
        <v>0</v>
      </c>
      <c r="U289" s="30">
        <f t="shared" si="127"/>
        <v>-2115.36</v>
      </c>
      <c r="V289" s="29">
        <v>2115.36</v>
      </c>
    </row>
    <row r="290" spans="1:22">
      <c r="A290" s="52" t="s">
        <v>616</v>
      </c>
      <c r="B290" s="53" t="s">
        <v>617</v>
      </c>
      <c r="C290" s="32" t="s">
        <v>618</v>
      </c>
      <c r="D290" s="29">
        <v>0</v>
      </c>
      <c r="E290" s="30">
        <f t="shared" ref="E290:E293" si="128">-F290+D290</f>
        <v>0</v>
      </c>
      <c r="F290" s="29">
        <v>0</v>
      </c>
      <c r="H290" s="29">
        <v>0</v>
      </c>
      <c r="I290" s="30">
        <f t="shared" ref="I290:I293" si="129">-J290+H290</f>
        <v>0</v>
      </c>
      <c r="J290" s="29">
        <v>0</v>
      </c>
      <c r="L290" s="29">
        <v>0</v>
      </c>
      <c r="M290" s="30">
        <f t="shared" ref="M290:M293" si="130">-N290+L290</f>
        <v>0</v>
      </c>
      <c r="N290" s="29">
        <v>0</v>
      </c>
      <c r="P290" s="29">
        <v>0</v>
      </c>
      <c r="Q290" s="30">
        <v>0</v>
      </c>
      <c r="R290" s="29">
        <v>0</v>
      </c>
      <c r="T290" s="29">
        <v>0</v>
      </c>
      <c r="U290" s="30">
        <f t="shared" ref="U290:U293" si="131">-V290+T290</f>
        <v>0</v>
      </c>
      <c r="V290" s="29">
        <v>0</v>
      </c>
    </row>
    <row r="291" spans="1:22">
      <c r="A291" s="52"/>
      <c r="B291" s="53" t="s">
        <v>619</v>
      </c>
      <c r="C291" s="32" t="s">
        <v>620</v>
      </c>
      <c r="D291" s="29">
        <v>0</v>
      </c>
      <c r="E291" s="30">
        <f t="shared" si="128"/>
        <v>-6877.73</v>
      </c>
      <c r="F291" s="93">
        <v>6877.73</v>
      </c>
      <c r="H291" s="29">
        <v>0</v>
      </c>
      <c r="I291" s="30">
        <f t="shared" si="129"/>
        <v>-8814.09</v>
      </c>
      <c r="J291" s="29">
        <v>8814.09</v>
      </c>
      <c r="L291" s="29">
        <v>0</v>
      </c>
      <c r="M291" s="30">
        <f t="shared" si="130"/>
        <v>-8814.09</v>
      </c>
      <c r="N291" s="29">
        <v>8814.09</v>
      </c>
      <c r="P291" s="29">
        <v>0</v>
      </c>
      <c r="Q291" s="30">
        <v>-7145</v>
      </c>
      <c r="R291" s="29">
        <v>7145</v>
      </c>
      <c r="T291" s="29">
        <v>0</v>
      </c>
      <c r="U291" s="30">
        <f t="shared" si="131"/>
        <v>-2010.14</v>
      </c>
      <c r="V291" s="29">
        <v>2010.14</v>
      </c>
    </row>
    <row r="292" spans="1:22">
      <c r="A292" s="52" t="s">
        <v>621</v>
      </c>
      <c r="B292" s="53" t="s">
        <v>622</v>
      </c>
      <c r="C292" s="32" t="s">
        <v>623</v>
      </c>
      <c r="D292" s="29">
        <v>0</v>
      </c>
      <c r="E292" s="30">
        <f t="shared" si="128"/>
        <v>0</v>
      </c>
      <c r="F292" s="29">
        <v>0</v>
      </c>
      <c r="H292" s="29">
        <v>0</v>
      </c>
      <c r="I292" s="30">
        <f t="shared" si="129"/>
        <v>0</v>
      </c>
      <c r="J292" s="29">
        <v>0</v>
      </c>
      <c r="L292" s="29">
        <v>0</v>
      </c>
      <c r="M292" s="30">
        <f t="shared" si="130"/>
        <v>0</v>
      </c>
      <c r="N292" s="29">
        <v>0</v>
      </c>
      <c r="P292" s="29">
        <v>0</v>
      </c>
      <c r="Q292" s="30">
        <v>0</v>
      </c>
      <c r="R292" s="29">
        <v>0</v>
      </c>
      <c r="T292" s="29">
        <v>0</v>
      </c>
      <c r="U292" s="30">
        <f t="shared" si="131"/>
        <v>0</v>
      </c>
      <c r="V292" s="29">
        <v>0</v>
      </c>
    </row>
    <row r="293" spans="1:22">
      <c r="A293" s="52"/>
      <c r="B293" s="53" t="s">
        <v>624</v>
      </c>
      <c r="C293" s="32" t="s">
        <v>625</v>
      </c>
      <c r="D293" s="29">
        <v>0</v>
      </c>
      <c r="E293" s="30">
        <f t="shared" si="128"/>
        <v>-6877.73</v>
      </c>
      <c r="F293" s="93">
        <v>6877.73</v>
      </c>
      <c r="H293" s="29">
        <v>0</v>
      </c>
      <c r="I293" s="30">
        <f t="shared" si="129"/>
        <v>-8814.09</v>
      </c>
      <c r="J293" s="29">
        <v>8814.09</v>
      </c>
      <c r="L293" s="29">
        <v>0</v>
      </c>
      <c r="M293" s="30">
        <f t="shared" si="130"/>
        <v>-8814.09</v>
      </c>
      <c r="N293" s="29">
        <v>8814.09</v>
      </c>
      <c r="P293" s="29">
        <v>0</v>
      </c>
      <c r="Q293" s="30">
        <v>-7145</v>
      </c>
      <c r="R293" s="29">
        <v>7145</v>
      </c>
      <c r="T293" s="29">
        <v>0</v>
      </c>
      <c r="U293" s="30">
        <f t="shared" si="131"/>
        <v>-3241.37</v>
      </c>
      <c r="V293" s="29">
        <v>3241.37</v>
      </c>
    </row>
    <row r="294" spans="1:22">
      <c r="A294" s="39" t="s">
        <v>626</v>
      </c>
      <c r="B294" s="40"/>
      <c r="C294" s="35" t="s">
        <v>627</v>
      </c>
      <c r="D294" s="65">
        <f>SUM(D295:D308)</f>
        <v>0</v>
      </c>
      <c r="E294" s="22">
        <f>SUM(E295:E308)</f>
        <v>-17500</v>
      </c>
      <c r="F294" s="65">
        <f>SUM(F295:F308)</f>
        <v>17500</v>
      </c>
      <c r="H294" s="65">
        <f>SUM(H295:H308)</f>
        <v>0</v>
      </c>
      <c r="I294" s="22">
        <f>SUM(I295:I308)</f>
        <v>-13700</v>
      </c>
      <c r="J294" s="65">
        <f>SUM(J295:J308)</f>
        <v>13700</v>
      </c>
      <c r="L294" s="65">
        <f>SUM(L295:L308)</f>
        <v>0</v>
      </c>
      <c r="M294" s="22">
        <f>SUM(M295:M308)</f>
        <v>-13700</v>
      </c>
      <c r="N294" s="65">
        <f>SUM(N295:N308)</f>
        <v>13700</v>
      </c>
      <c r="P294" s="65">
        <v>0</v>
      </c>
      <c r="Q294" s="22">
        <v>-17500</v>
      </c>
      <c r="R294" s="65">
        <v>17500</v>
      </c>
      <c r="T294" s="65">
        <f>SUM(T295:T308)</f>
        <v>0</v>
      </c>
      <c r="U294" s="22">
        <f>SUM(U295:U308)</f>
        <v>-17500</v>
      </c>
      <c r="V294" s="65">
        <f>SUM(V295:V308)</f>
        <v>17500</v>
      </c>
    </row>
    <row r="295" spans="1:22">
      <c r="A295" s="36" t="s">
        <v>628</v>
      </c>
      <c r="B295" s="37" t="s">
        <v>629</v>
      </c>
      <c r="C295" s="32" t="s">
        <v>630</v>
      </c>
      <c r="D295" s="29">
        <v>0</v>
      </c>
      <c r="E295" s="30">
        <f t="shared" ref="E295:E308" si="132">-F295+D295</f>
        <v>0</v>
      </c>
      <c r="F295" s="29">
        <v>0</v>
      </c>
      <c r="H295" s="29">
        <v>0</v>
      </c>
      <c r="I295" s="30">
        <f t="shared" ref="I295:I308" si="133">-J295+H295</f>
        <v>0</v>
      </c>
      <c r="J295" s="29">
        <v>0</v>
      </c>
      <c r="L295" s="29">
        <v>0</v>
      </c>
      <c r="M295" s="30">
        <f t="shared" ref="M295:M308" si="134">-N295+L295</f>
        <v>0</v>
      </c>
      <c r="N295" s="29">
        <v>0</v>
      </c>
      <c r="P295" s="29">
        <v>0</v>
      </c>
      <c r="Q295" s="30">
        <v>0</v>
      </c>
      <c r="R295" s="29">
        <v>0</v>
      </c>
      <c r="T295" s="29">
        <v>0</v>
      </c>
      <c r="U295" s="30">
        <f t="shared" ref="U295:U308" si="135">-V295+T295</f>
        <v>0</v>
      </c>
      <c r="V295" s="29">
        <v>0</v>
      </c>
    </row>
    <row r="296" spans="1:22">
      <c r="A296" s="36"/>
      <c r="B296" s="37" t="s">
        <v>631</v>
      </c>
      <c r="C296" s="32" t="s">
        <v>632</v>
      </c>
      <c r="D296" s="29">
        <v>0</v>
      </c>
      <c r="E296" s="30">
        <f t="shared" si="132"/>
        <v>-2500</v>
      </c>
      <c r="F296" s="29">
        <v>2500</v>
      </c>
      <c r="H296" s="29">
        <v>0</v>
      </c>
      <c r="I296" s="30">
        <f t="shared" si="133"/>
        <v>-2400</v>
      </c>
      <c r="J296" s="29">
        <v>2400</v>
      </c>
      <c r="L296" s="29">
        <v>0</v>
      </c>
      <c r="M296" s="30">
        <f t="shared" si="134"/>
        <v>-2400</v>
      </c>
      <c r="N296" s="29">
        <v>2400</v>
      </c>
      <c r="P296" s="29">
        <v>0</v>
      </c>
      <c r="Q296" s="30">
        <v>-2500</v>
      </c>
      <c r="R296" s="29">
        <v>2500</v>
      </c>
      <c r="T296" s="29">
        <v>0</v>
      </c>
      <c r="U296" s="30">
        <f t="shared" si="135"/>
        <v>-2500</v>
      </c>
      <c r="V296" s="29">
        <v>2500</v>
      </c>
    </row>
    <row r="297" spans="1:22">
      <c r="A297" s="36" t="s">
        <v>633</v>
      </c>
      <c r="B297" s="37" t="s">
        <v>634</v>
      </c>
      <c r="C297" s="32" t="s">
        <v>635</v>
      </c>
      <c r="D297" s="29">
        <v>0</v>
      </c>
      <c r="E297" s="30">
        <f t="shared" si="132"/>
        <v>0</v>
      </c>
      <c r="F297" s="29">
        <v>0</v>
      </c>
      <c r="H297" s="29">
        <v>0</v>
      </c>
      <c r="I297" s="30">
        <f t="shared" si="133"/>
        <v>0</v>
      </c>
      <c r="J297" s="29">
        <v>0</v>
      </c>
      <c r="L297" s="29">
        <v>0</v>
      </c>
      <c r="M297" s="30">
        <f t="shared" si="134"/>
        <v>0</v>
      </c>
      <c r="N297" s="29">
        <v>0</v>
      </c>
      <c r="P297" s="29">
        <v>0</v>
      </c>
      <c r="Q297" s="30">
        <v>0</v>
      </c>
      <c r="R297" s="29">
        <v>0</v>
      </c>
      <c r="T297" s="29">
        <v>0</v>
      </c>
      <c r="U297" s="30">
        <f t="shared" si="135"/>
        <v>0</v>
      </c>
      <c r="V297" s="29">
        <v>0</v>
      </c>
    </row>
    <row r="298" spans="1:22">
      <c r="A298" s="36"/>
      <c r="B298" s="42" t="s">
        <v>636</v>
      </c>
      <c r="C298" s="43" t="s">
        <v>637</v>
      </c>
      <c r="D298" s="29">
        <v>0</v>
      </c>
      <c r="E298" s="30">
        <f t="shared" si="132"/>
        <v>-2500</v>
      </c>
      <c r="F298" s="29">
        <v>2500</v>
      </c>
      <c r="H298" s="29">
        <v>0</v>
      </c>
      <c r="I298" s="30">
        <f t="shared" si="133"/>
        <v>-1500</v>
      </c>
      <c r="J298" s="29">
        <v>1500</v>
      </c>
      <c r="L298" s="29">
        <v>0</v>
      </c>
      <c r="M298" s="30">
        <f t="shared" si="134"/>
        <v>-1500</v>
      </c>
      <c r="N298" s="29">
        <v>1500</v>
      </c>
      <c r="P298" s="29">
        <v>0</v>
      </c>
      <c r="Q298" s="30">
        <v>-2500</v>
      </c>
      <c r="R298" s="29">
        <v>2500</v>
      </c>
      <c r="T298" s="29">
        <v>0</v>
      </c>
      <c r="U298" s="30">
        <f t="shared" si="135"/>
        <v>-2500</v>
      </c>
      <c r="V298" s="29">
        <v>2500</v>
      </c>
    </row>
    <row r="299" spans="1:22">
      <c r="A299" s="36" t="s">
        <v>638</v>
      </c>
      <c r="B299" s="42" t="s">
        <v>639</v>
      </c>
      <c r="C299" s="43" t="s">
        <v>640</v>
      </c>
      <c r="D299" s="29">
        <v>0</v>
      </c>
      <c r="E299" s="30">
        <f t="shared" si="132"/>
        <v>0</v>
      </c>
      <c r="F299" s="29">
        <v>0</v>
      </c>
      <c r="H299" s="29">
        <v>0</v>
      </c>
      <c r="I299" s="30">
        <f t="shared" si="133"/>
        <v>0</v>
      </c>
      <c r="J299" s="29">
        <v>0</v>
      </c>
      <c r="L299" s="29">
        <v>0</v>
      </c>
      <c r="M299" s="30">
        <f t="shared" si="134"/>
        <v>0</v>
      </c>
      <c r="N299" s="29">
        <v>0</v>
      </c>
      <c r="P299" s="29">
        <v>0</v>
      </c>
      <c r="Q299" s="30">
        <v>0</v>
      </c>
      <c r="R299" s="29">
        <v>0</v>
      </c>
      <c r="T299" s="29">
        <v>0</v>
      </c>
      <c r="U299" s="30">
        <f t="shared" si="135"/>
        <v>0</v>
      </c>
      <c r="V299" s="29">
        <v>0</v>
      </c>
    </row>
    <row r="300" spans="1:22">
      <c r="A300" s="36"/>
      <c r="B300" s="42" t="s">
        <v>641</v>
      </c>
      <c r="C300" s="43" t="s">
        <v>642</v>
      </c>
      <c r="D300" s="29">
        <v>0</v>
      </c>
      <c r="E300" s="30">
        <f t="shared" si="132"/>
        <v>-2500</v>
      </c>
      <c r="F300" s="29">
        <v>2500</v>
      </c>
      <c r="H300" s="29">
        <v>0</v>
      </c>
      <c r="I300" s="30">
        <f t="shared" si="133"/>
        <v>-2000</v>
      </c>
      <c r="J300" s="29">
        <v>2000</v>
      </c>
      <c r="L300" s="29">
        <v>0</v>
      </c>
      <c r="M300" s="30">
        <f t="shared" si="134"/>
        <v>-2000</v>
      </c>
      <c r="N300" s="29">
        <v>2000</v>
      </c>
      <c r="P300" s="29">
        <v>0</v>
      </c>
      <c r="Q300" s="30">
        <v>-2500</v>
      </c>
      <c r="R300" s="29">
        <v>2500</v>
      </c>
      <c r="T300" s="29">
        <v>0</v>
      </c>
      <c r="U300" s="30">
        <f t="shared" si="135"/>
        <v>-2500</v>
      </c>
      <c r="V300" s="29">
        <v>2500</v>
      </c>
    </row>
    <row r="301" spans="1:22">
      <c r="A301" s="36" t="s">
        <v>643</v>
      </c>
      <c r="B301" s="37" t="s">
        <v>644</v>
      </c>
      <c r="C301" s="32" t="s">
        <v>645</v>
      </c>
      <c r="D301" s="29">
        <v>0</v>
      </c>
      <c r="E301" s="30">
        <f t="shared" si="132"/>
        <v>0</v>
      </c>
      <c r="F301" s="29">
        <v>0</v>
      </c>
      <c r="H301" s="29">
        <v>0</v>
      </c>
      <c r="I301" s="30">
        <f t="shared" si="133"/>
        <v>0</v>
      </c>
      <c r="J301" s="29">
        <v>0</v>
      </c>
      <c r="L301" s="29">
        <v>0</v>
      </c>
      <c r="M301" s="30">
        <f t="shared" si="134"/>
        <v>0</v>
      </c>
      <c r="N301" s="29">
        <v>0</v>
      </c>
      <c r="P301" s="29">
        <v>0</v>
      </c>
      <c r="Q301" s="30">
        <v>0</v>
      </c>
      <c r="R301" s="29">
        <v>0</v>
      </c>
      <c r="T301" s="29">
        <v>0</v>
      </c>
      <c r="U301" s="30">
        <f t="shared" si="135"/>
        <v>0</v>
      </c>
      <c r="V301" s="29">
        <v>0</v>
      </c>
    </row>
    <row r="302" spans="1:22">
      <c r="A302" s="36"/>
      <c r="B302" s="37" t="s">
        <v>646</v>
      </c>
      <c r="C302" s="32" t="s">
        <v>647</v>
      </c>
      <c r="D302" s="29">
        <v>0</v>
      </c>
      <c r="E302" s="30">
        <f t="shared" si="132"/>
        <v>-2500</v>
      </c>
      <c r="F302" s="29">
        <v>2500</v>
      </c>
      <c r="H302" s="29">
        <v>0</v>
      </c>
      <c r="I302" s="30">
        <f t="shared" si="133"/>
        <v>-2000</v>
      </c>
      <c r="J302" s="29">
        <v>2000</v>
      </c>
      <c r="L302" s="29">
        <v>0</v>
      </c>
      <c r="M302" s="30">
        <f t="shared" si="134"/>
        <v>-2000</v>
      </c>
      <c r="N302" s="29">
        <v>2000</v>
      </c>
      <c r="P302" s="29">
        <v>0</v>
      </c>
      <c r="Q302" s="30">
        <v>-2500</v>
      </c>
      <c r="R302" s="29">
        <v>2500</v>
      </c>
      <c r="T302" s="29">
        <v>0</v>
      </c>
      <c r="U302" s="30">
        <f t="shared" si="135"/>
        <v>-2500</v>
      </c>
      <c r="V302" s="29">
        <v>2500</v>
      </c>
    </row>
    <row r="303" spans="1:22">
      <c r="A303" s="36" t="s">
        <v>648</v>
      </c>
      <c r="B303" s="37" t="s">
        <v>649</v>
      </c>
      <c r="C303" s="32" t="s">
        <v>650</v>
      </c>
      <c r="D303" s="29">
        <v>0</v>
      </c>
      <c r="E303" s="30">
        <f t="shared" si="132"/>
        <v>0</v>
      </c>
      <c r="F303" s="29">
        <v>0</v>
      </c>
      <c r="H303" s="29">
        <v>0</v>
      </c>
      <c r="I303" s="30">
        <f t="shared" si="133"/>
        <v>0</v>
      </c>
      <c r="J303" s="29">
        <v>0</v>
      </c>
      <c r="L303" s="29">
        <v>0</v>
      </c>
      <c r="M303" s="30">
        <f t="shared" si="134"/>
        <v>0</v>
      </c>
      <c r="N303" s="29">
        <v>0</v>
      </c>
      <c r="P303" s="29">
        <v>0</v>
      </c>
      <c r="Q303" s="30">
        <v>0</v>
      </c>
      <c r="R303" s="29">
        <v>0</v>
      </c>
      <c r="T303" s="29">
        <v>0</v>
      </c>
      <c r="U303" s="30">
        <f t="shared" si="135"/>
        <v>0</v>
      </c>
      <c r="V303" s="29">
        <v>0</v>
      </c>
    </row>
    <row r="304" spans="1:22">
      <c r="A304" s="36"/>
      <c r="B304" s="37" t="s">
        <v>651</v>
      </c>
      <c r="C304" s="32" t="s">
        <v>652</v>
      </c>
      <c r="D304" s="29">
        <v>0</v>
      </c>
      <c r="E304" s="30">
        <f t="shared" si="132"/>
        <v>-2500</v>
      </c>
      <c r="F304" s="29">
        <v>2500</v>
      </c>
      <c r="H304" s="29">
        <v>0</v>
      </c>
      <c r="I304" s="30">
        <f t="shared" si="133"/>
        <v>-2000</v>
      </c>
      <c r="J304" s="29">
        <v>2000</v>
      </c>
      <c r="L304" s="29">
        <v>0</v>
      </c>
      <c r="M304" s="30">
        <f t="shared" si="134"/>
        <v>-2000</v>
      </c>
      <c r="N304" s="29">
        <v>2000</v>
      </c>
      <c r="P304" s="29">
        <v>0</v>
      </c>
      <c r="Q304" s="30">
        <v>-2500</v>
      </c>
      <c r="R304" s="29">
        <v>2500</v>
      </c>
      <c r="T304" s="29">
        <v>0</v>
      </c>
      <c r="U304" s="30">
        <f t="shared" si="135"/>
        <v>-2500</v>
      </c>
      <c r="V304" s="29">
        <v>2500</v>
      </c>
    </row>
    <row r="305" spans="1:22">
      <c r="A305" s="36" t="s">
        <v>653</v>
      </c>
      <c r="B305" s="37" t="s">
        <v>654</v>
      </c>
      <c r="C305" s="32" t="s">
        <v>655</v>
      </c>
      <c r="D305" s="29">
        <v>0</v>
      </c>
      <c r="E305" s="30">
        <f t="shared" si="132"/>
        <v>0</v>
      </c>
      <c r="F305" s="29">
        <v>0</v>
      </c>
      <c r="H305" s="29">
        <v>0</v>
      </c>
      <c r="I305" s="30">
        <f t="shared" si="133"/>
        <v>0</v>
      </c>
      <c r="J305" s="29">
        <v>0</v>
      </c>
      <c r="L305" s="29">
        <v>0</v>
      </c>
      <c r="M305" s="30">
        <f t="shared" si="134"/>
        <v>0</v>
      </c>
      <c r="N305" s="29">
        <v>0</v>
      </c>
      <c r="P305" s="29">
        <v>0</v>
      </c>
      <c r="Q305" s="30">
        <v>0</v>
      </c>
      <c r="R305" s="29">
        <v>0</v>
      </c>
      <c r="T305" s="29">
        <v>0</v>
      </c>
      <c r="U305" s="30">
        <f t="shared" si="135"/>
        <v>0</v>
      </c>
      <c r="V305" s="29">
        <v>0</v>
      </c>
    </row>
    <row r="306" spans="1:22">
      <c r="A306" s="36"/>
      <c r="B306" s="37" t="s">
        <v>656</v>
      </c>
      <c r="C306" s="32" t="s">
        <v>657</v>
      </c>
      <c r="D306" s="29">
        <v>0</v>
      </c>
      <c r="E306" s="30">
        <f t="shared" si="132"/>
        <v>-2500</v>
      </c>
      <c r="F306" s="29">
        <v>2500</v>
      </c>
      <c r="H306" s="29">
        <v>0</v>
      </c>
      <c r="I306" s="30">
        <f t="shared" si="133"/>
        <v>-1500</v>
      </c>
      <c r="J306" s="29">
        <v>1500</v>
      </c>
      <c r="L306" s="29">
        <v>0</v>
      </c>
      <c r="M306" s="30">
        <f t="shared" si="134"/>
        <v>-1500</v>
      </c>
      <c r="N306" s="29">
        <v>1500</v>
      </c>
      <c r="P306" s="29">
        <v>0</v>
      </c>
      <c r="Q306" s="30">
        <v>-2500</v>
      </c>
      <c r="R306" s="29">
        <v>2500</v>
      </c>
      <c r="T306" s="29">
        <v>0</v>
      </c>
      <c r="U306" s="30">
        <f t="shared" si="135"/>
        <v>-2500</v>
      </c>
      <c r="V306" s="29">
        <v>2500</v>
      </c>
    </row>
    <row r="307" spans="1:22">
      <c r="A307" s="36" t="s">
        <v>658</v>
      </c>
      <c r="B307" s="37" t="s">
        <v>659</v>
      </c>
      <c r="C307" s="32" t="s">
        <v>660</v>
      </c>
      <c r="D307" s="29">
        <v>0</v>
      </c>
      <c r="E307" s="30">
        <f t="shared" si="132"/>
        <v>0</v>
      </c>
      <c r="F307" s="29">
        <v>0</v>
      </c>
      <c r="H307" s="29">
        <v>0</v>
      </c>
      <c r="I307" s="30">
        <f t="shared" si="133"/>
        <v>0</v>
      </c>
      <c r="J307" s="29">
        <v>0</v>
      </c>
      <c r="L307" s="29">
        <v>0</v>
      </c>
      <c r="M307" s="30">
        <f t="shared" si="134"/>
        <v>0</v>
      </c>
      <c r="N307" s="29">
        <v>0</v>
      </c>
      <c r="P307" s="29">
        <v>0</v>
      </c>
      <c r="Q307" s="30">
        <v>0</v>
      </c>
      <c r="R307" s="29">
        <v>0</v>
      </c>
      <c r="T307" s="29">
        <v>0</v>
      </c>
      <c r="U307" s="30">
        <f t="shared" si="135"/>
        <v>0</v>
      </c>
      <c r="V307" s="29">
        <v>0</v>
      </c>
    </row>
    <row r="308" spans="1:22">
      <c r="A308" s="36"/>
      <c r="B308" s="37" t="s">
        <v>661</v>
      </c>
      <c r="C308" s="32" t="s">
        <v>662</v>
      </c>
      <c r="D308" s="29">
        <v>0</v>
      </c>
      <c r="E308" s="30">
        <f t="shared" si="132"/>
        <v>-2500</v>
      </c>
      <c r="F308" s="29">
        <v>2500</v>
      </c>
      <c r="H308" s="29">
        <v>0</v>
      </c>
      <c r="I308" s="30">
        <f t="shared" si="133"/>
        <v>-2300</v>
      </c>
      <c r="J308" s="29">
        <v>2300</v>
      </c>
      <c r="L308" s="29">
        <v>0</v>
      </c>
      <c r="M308" s="30">
        <f t="shared" si="134"/>
        <v>-2300</v>
      </c>
      <c r="N308" s="29">
        <v>2300</v>
      </c>
      <c r="P308" s="29">
        <v>0</v>
      </c>
      <c r="Q308" s="30">
        <v>-2500</v>
      </c>
      <c r="R308" s="29">
        <v>2500</v>
      </c>
      <c r="T308" s="29">
        <v>0</v>
      </c>
      <c r="U308" s="30">
        <f t="shared" si="135"/>
        <v>-2500</v>
      </c>
      <c r="V308" s="29">
        <v>2500</v>
      </c>
    </row>
    <row r="309" spans="1:22">
      <c r="A309" s="39" t="s">
        <v>663</v>
      </c>
      <c r="B309" s="40"/>
      <c r="C309" s="35" t="s">
        <v>664</v>
      </c>
      <c r="D309" s="65">
        <f>SUM(D310:D310)</f>
        <v>0</v>
      </c>
      <c r="E309" s="22">
        <f>SUM(E310:E310)</f>
        <v>-40000</v>
      </c>
      <c r="F309" s="65">
        <f>SUM(F310:F310)</f>
        <v>40000</v>
      </c>
      <c r="H309" s="65">
        <f>SUM(H310:H310)</f>
        <v>0</v>
      </c>
      <c r="I309" s="22">
        <f>SUM(I310:I310)</f>
        <v>-25000</v>
      </c>
      <c r="J309" s="65">
        <f>SUM(J310:J310)</f>
        <v>25000</v>
      </c>
      <c r="L309" s="65">
        <f>SUM(L310:L310)</f>
        <v>0</v>
      </c>
      <c r="M309" s="22">
        <f>SUM(M310:M310)</f>
        <v>-28000</v>
      </c>
      <c r="N309" s="65">
        <f>SUM(N310:N310)</f>
        <v>28000</v>
      </c>
      <c r="P309" s="65">
        <v>0</v>
      </c>
      <c r="Q309" s="22">
        <v>-30000</v>
      </c>
      <c r="R309" s="65">
        <v>30000</v>
      </c>
      <c r="T309" s="65">
        <f>SUM(T310:T310)</f>
        <v>0</v>
      </c>
      <c r="U309" s="22">
        <f>SUM(U310:U310)</f>
        <v>-30000</v>
      </c>
      <c r="V309" s="65">
        <f>SUM(V310:V310)</f>
        <v>30000</v>
      </c>
    </row>
    <row r="310" spans="1:22">
      <c r="A310" s="36" t="s">
        <v>665</v>
      </c>
      <c r="B310" s="37" t="s">
        <v>666</v>
      </c>
      <c r="C310" s="32" t="s">
        <v>667</v>
      </c>
      <c r="D310" s="29">
        <v>0</v>
      </c>
      <c r="E310" s="30">
        <f>-F310+D310</f>
        <v>-40000</v>
      </c>
      <c r="F310" s="29">
        <v>40000</v>
      </c>
      <c r="G310" s="85"/>
      <c r="H310" s="29">
        <v>0</v>
      </c>
      <c r="I310" s="30">
        <f>-J310+H310</f>
        <v>-25000</v>
      </c>
      <c r="J310" s="29">
        <v>25000</v>
      </c>
      <c r="L310" s="29">
        <v>0</v>
      </c>
      <c r="M310" s="30">
        <f>-N310+L310</f>
        <v>-28000</v>
      </c>
      <c r="N310" s="29">
        <v>28000</v>
      </c>
      <c r="P310" s="29">
        <v>0</v>
      </c>
      <c r="Q310" s="30">
        <v>-30000</v>
      </c>
      <c r="R310" s="29">
        <v>30000</v>
      </c>
      <c r="T310" s="29">
        <v>0</v>
      </c>
      <c r="U310" s="30">
        <f>-V310+T310</f>
        <v>-30000</v>
      </c>
      <c r="V310" s="29">
        <v>30000</v>
      </c>
    </row>
    <row r="311" spans="1:22" ht="21">
      <c r="A311" s="47" t="s">
        <v>668</v>
      </c>
      <c r="B311" s="48"/>
      <c r="C311" s="49" t="s">
        <v>669</v>
      </c>
      <c r="D311" s="50">
        <f>D312</f>
        <v>0</v>
      </c>
      <c r="E311" s="51">
        <f>E312</f>
        <v>-2600</v>
      </c>
      <c r="F311" s="50">
        <f>F312</f>
        <v>2600</v>
      </c>
      <c r="H311" s="50">
        <f>H312</f>
        <v>0</v>
      </c>
      <c r="I311" s="51">
        <f>I312</f>
        <v>-2600</v>
      </c>
      <c r="J311" s="50">
        <f>J312</f>
        <v>2600</v>
      </c>
      <c r="L311" s="50">
        <f>L312</f>
        <v>0</v>
      </c>
      <c r="M311" s="51">
        <f>M312</f>
        <v>-2600</v>
      </c>
      <c r="N311" s="50">
        <f>N312</f>
        <v>2600</v>
      </c>
      <c r="P311" s="50">
        <v>0</v>
      </c>
      <c r="Q311" s="51">
        <v>-7600</v>
      </c>
      <c r="R311" s="50">
        <v>7600</v>
      </c>
      <c r="T311" s="50">
        <f>T312</f>
        <v>0</v>
      </c>
      <c r="U311" s="51">
        <f>U312</f>
        <v>-7600</v>
      </c>
      <c r="V311" s="50">
        <f>V312</f>
        <v>7600</v>
      </c>
    </row>
    <row r="312" spans="1:22">
      <c r="A312" s="39" t="s">
        <v>670</v>
      </c>
      <c r="B312" s="40"/>
      <c r="C312" s="20" t="s">
        <v>671</v>
      </c>
      <c r="D312" s="65">
        <f>SUM(D313:D315)</f>
        <v>0</v>
      </c>
      <c r="E312" s="22">
        <f>SUM(E313:E315)</f>
        <v>-2600</v>
      </c>
      <c r="F312" s="65">
        <f>SUM(F313:F315)</f>
        <v>2600</v>
      </c>
      <c r="H312" s="65">
        <f>SUM(H313:H315)</f>
        <v>0</v>
      </c>
      <c r="I312" s="22">
        <f>SUM(I313:I315)</f>
        <v>-2600</v>
      </c>
      <c r="J312" s="65">
        <f>SUM(J313:J315)</f>
        <v>2600</v>
      </c>
      <c r="L312" s="65">
        <f>SUM(L313:L315)</f>
        <v>0</v>
      </c>
      <c r="M312" s="22">
        <f>SUM(M313:M315)</f>
        <v>-2600</v>
      </c>
      <c r="N312" s="65">
        <f>SUM(N313:N315)</f>
        <v>2600</v>
      </c>
      <c r="P312" s="65">
        <v>0</v>
      </c>
      <c r="Q312" s="22">
        <v>-7600</v>
      </c>
      <c r="R312" s="65">
        <v>7600</v>
      </c>
      <c r="T312" s="65">
        <f>SUM(T313:T315)</f>
        <v>0</v>
      </c>
      <c r="U312" s="22">
        <f>SUM(U313:U315)</f>
        <v>-7600</v>
      </c>
      <c r="V312" s="65">
        <f>SUM(V313:V315)</f>
        <v>7600</v>
      </c>
    </row>
    <row r="313" spans="1:22">
      <c r="A313" s="36" t="s">
        <v>672</v>
      </c>
      <c r="B313" s="37" t="s">
        <v>673</v>
      </c>
      <c r="C313" s="32" t="s">
        <v>674</v>
      </c>
      <c r="D313" s="29">
        <v>0</v>
      </c>
      <c r="E313" s="30">
        <f t="shared" ref="E313:E315" si="136">-F313+D313</f>
        <v>-1300</v>
      </c>
      <c r="F313" s="29">
        <v>1300</v>
      </c>
      <c r="H313" s="29">
        <v>0</v>
      </c>
      <c r="I313" s="30">
        <f t="shared" ref="I313:I315" si="137">-J313+H313</f>
        <v>-1300</v>
      </c>
      <c r="J313" s="29">
        <v>1300</v>
      </c>
      <c r="L313" s="29">
        <v>0</v>
      </c>
      <c r="M313" s="30">
        <f t="shared" ref="M313:M315" si="138">-N313+L313</f>
        <v>-1300</v>
      </c>
      <c r="N313" s="29">
        <v>1300</v>
      </c>
      <c r="P313" s="29">
        <v>0</v>
      </c>
      <c r="Q313" s="30">
        <v>-1300</v>
      </c>
      <c r="R313" s="29">
        <v>1300</v>
      </c>
      <c r="T313" s="29">
        <v>0</v>
      </c>
      <c r="U313" s="30">
        <f t="shared" ref="U313:U315" si="139">-V313+T313</f>
        <v>-1300</v>
      </c>
      <c r="V313" s="29">
        <v>1300</v>
      </c>
    </row>
    <row r="314" spans="1:22">
      <c r="A314" s="36" t="s">
        <v>675</v>
      </c>
      <c r="B314" s="37" t="s">
        <v>676</v>
      </c>
      <c r="C314" s="32" t="s">
        <v>677</v>
      </c>
      <c r="D314" s="29">
        <v>0</v>
      </c>
      <c r="E314" s="30">
        <f t="shared" si="136"/>
        <v>-1300</v>
      </c>
      <c r="F314" s="29">
        <v>1300</v>
      </c>
      <c r="H314" s="29">
        <v>0</v>
      </c>
      <c r="I314" s="30">
        <f t="shared" si="137"/>
        <v>-1300</v>
      </c>
      <c r="J314" s="29">
        <v>1300</v>
      </c>
      <c r="L314" s="29">
        <v>0</v>
      </c>
      <c r="M314" s="30">
        <f t="shared" si="138"/>
        <v>-1300</v>
      </c>
      <c r="N314" s="29">
        <v>1300</v>
      </c>
      <c r="P314" s="29">
        <v>0</v>
      </c>
      <c r="Q314" s="30">
        <v>-1300</v>
      </c>
      <c r="R314" s="29">
        <v>1300</v>
      </c>
      <c r="T314" s="29">
        <v>0</v>
      </c>
      <c r="U314" s="30">
        <f t="shared" si="139"/>
        <v>-1300</v>
      </c>
      <c r="V314" s="29">
        <v>1300</v>
      </c>
    </row>
    <row r="315" spans="1:22">
      <c r="A315" s="36" t="s">
        <v>678</v>
      </c>
      <c r="B315" s="37" t="s">
        <v>679</v>
      </c>
      <c r="C315" s="32" t="s">
        <v>680</v>
      </c>
      <c r="D315" s="29">
        <v>0</v>
      </c>
      <c r="E315" s="30">
        <f t="shared" si="136"/>
        <v>0</v>
      </c>
      <c r="F315" s="29">
        <v>0</v>
      </c>
      <c r="H315" s="29">
        <v>0</v>
      </c>
      <c r="I315" s="30">
        <f t="shared" si="137"/>
        <v>0</v>
      </c>
      <c r="J315" s="29">
        <v>0</v>
      </c>
      <c r="L315" s="29">
        <v>0</v>
      </c>
      <c r="M315" s="30">
        <f t="shared" si="138"/>
        <v>0</v>
      </c>
      <c r="N315" s="29">
        <v>0</v>
      </c>
      <c r="P315" s="29">
        <v>0</v>
      </c>
      <c r="Q315" s="30">
        <v>-5000</v>
      </c>
      <c r="R315" s="29">
        <v>5000</v>
      </c>
      <c r="T315" s="29">
        <v>0</v>
      </c>
      <c r="U315" s="30">
        <f t="shared" si="139"/>
        <v>-5000</v>
      </c>
      <c r="V315" s="29">
        <v>5000</v>
      </c>
    </row>
    <row r="316" spans="1:22" ht="21">
      <c r="A316" s="94" t="s">
        <v>681</v>
      </c>
      <c r="B316" s="95"/>
      <c r="C316" s="49" t="s">
        <v>682</v>
      </c>
      <c r="D316" s="96">
        <f>SUM(D317)</f>
        <v>0</v>
      </c>
      <c r="E316" s="97">
        <f>SUM(E317)</f>
        <v>-2522.8200000000002</v>
      </c>
      <c r="F316" s="98">
        <f>SUM(F317)</f>
        <v>2522.8200000000002</v>
      </c>
      <c r="H316" s="96">
        <f>SUM(H317)</f>
        <v>2500</v>
      </c>
      <c r="I316" s="97">
        <f>SUM(I317)</f>
        <v>2312.5</v>
      </c>
      <c r="J316" s="98">
        <f>SUM(J317)</f>
        <v>187.5</v>
      </c>
      <c r="L316" s="96">
        <f>SUM(L317)</f>
        <v>2500</v>
      </c>
      <c r="M316" s="97">
        <f>SUM(M317)</f>
        <v>2312.5</v>
      </c>
      <c r="N316" s="98">
        <f>SUM(N317)</f>
        <v>187.5</v>
      </c>
      <c r="P316" s="96">
        <v>0</v>
      </c>
      <c r="Q316" s="97">
        <v>-1104.3399999999999</v>
      </c>
      <c r="R316" s="98">
        <v>1104.3399999999999</v>
      </c>
      <c r="T316" s="96">
        <f>SUM(T317)</f>
        <v>0</v>
      </c>
      <c r="U316" s="97">
        <f>SUM(U317)</f>
        <v>-1657.01</v>
      </c>
      <c r="V316" s="98">
        <f>SUM(V317)</f>
        <v>1657.01</v>
      </c>
    </row>
    <row r="317" spans="1:22">
      <c r="A317" s="39" t="s">
        <v>681</v>
      </c>
      <c r="B317" s="40"/>
      <c r="C317" s="20" t="s">
        <v>682</v>
      </c>
      <c r="D317" s="65">
        <f>SUM(D318:D319)</f>
        <v>0</v>
      </c>
      <c r="E317" s="22">
        <f>SUM(E318:E319)</f>
        <v>-2522.8200000000002</v>
      </c>
      <c r="F317" s="65">
        <f>SUM(F318:F319)</f>
        <v>2522.8200000000002</v>
      </c>
      <c r="H317" s="65">
        <f>SUM(H318:H319)</f>
        <v>2500</v>
      </c>
      <c r="I317" s="22">
        <f>SUM(I318:I319)</f>
        <v>2312.5</v>
      </c>
      <c r="J317" s="65">
        <f>SUM(J318:J319)</f>
        <v>187.5</v>
      </c>
      <c r="L317" s="65">
        <f>SUM(L318:L319)</f>
        <v>2500</v>
      </c>
      <c r="M317" s="22">
        <f>SUM(M318:M319)</f>
        <v>2312.5</v>
      </c>
      <c r="N317" s="65">
        <f>SUM(N318:N319)</f>
        <v>187.5</v>
      </c>
      <c r="P317" s="65">
        <v>0</v>
      </c>
      <c r="Q317" s="22">
        <v>-1104.3399999999999</v>
      </c>
      <c r="R317" s="65">
        <v>1104.3399999999999</v>
      </c>
      <c r="T317" s="65">
        <f>SUM(T318:T319)</f>
        <v>0</v>
      </c>
      <c r="U317" s="22">
        <f>SUM(U318:U319)</f>
        <v>-1657.01</v>
      </c>
      <c r="V317" s="65">
        <f>SUM(V318:V319)</f>
        <v>1657.01</v>
      </c>
    </row>
    <row r="318" spans="1:22">
      <c r="A318" s="36" t="s">
        <v>683</v>
      </c>
      <c r="B318" s="37" t="s">
        <v>684</v>
      </c>
      <c r="C318" s="32" t="s">
        <v>685</v>
      </c>
      <c r="D318" s="29">
        <v>0</v>
      </c>
      <c r="E318" s="30">
        <f t="shared" ref="E318:E319" si="140">-F318+D318</f>
        <v>0</v>
      </c>
      <c r="F318" s="27">
        <v>0</v>
      </c>
      <c r="H318" s="29">
        <v>2500</v>
      </c>
      <c r="I318" s="30">
        <f t="shared" ref="I318:I319" si="141">-J318+H318</f>
        <v>2500</v>
      </c>
      <c r="J318" s="27">
        <v>0</v>
      </c>
      <c r="L318" s="29">
        <v>2500</v>
      </c>
      <c r="M318" s="30">
        <f t="shared" ref="M318:M319" si="142">-N318+L318</f>
        <v>2500</v>
      </c>
      <c r="N318" s="27">
        <v>0</v>
      </c>
      <c r="P318" s="29">
        <v>0</v>
      </c>
      <c r="Q318" s="30">
        <v>0</v>
      </c>
      <c r="R318" s="27">
        <v>0</v>
      </c>
      <c r="T318" s="29">
        <v>0</v>
      </c>
      <c r="U318" s="30">
        <f t="shared" ref="U318:U319" si="143">-V318+T318</f>
        <v>0</v>
      </c>
      <c r="V318" s="27">
        <v>0</v>
      </c>
    </row>
    <row r="319" spans="1:22">
      <c r="A319" s="36" t="s">
        <v>683</v>
      </c>
      <c r="B319" s="37" t="s">
        <v>686</v>
      </c>
      <c r="C319" s="32" t="s">
        <v>687</v>
      </c>
      <c r="D319" s="29">
        <v>0</v>
      </c>
      <c r="E319" s="30">
        <f t="shared" si="140"/>
        <v>-2522.8200000000002</v>
      </c>
      <c r="F319" s="29">
        <v>2522.8200000000002</v>
      </c>
      <c r="H319" s="29">
        <v>0</v>
      </c>
      <c r="I319" s="30">
        <f t="shared" si="141"/>
        <v>-187.5</v>
      </c>
      <c r="J319" s="29">
        <v>187.5</v>
      </c>
      <c r="L319" s="29">
        <v>0</v>
      </c>
      <c r="M319" s="30">
        <f t="shared" si="142"/>
        <v>-187.5</v>
      </c>
      <c r="N319" s="29">
        <v>187.5</v>
      </c>
      <c r="P319" s="29">
        <v>0</v>
      </c>
      <c r="Q319" s="30">
        <v>-1104.3399999999999</v>
      </c>
      <c r="R319" s="29">
        <v>1104.3399999999999</v>
      </c>
      <c r="T319" s="29">
        <v>0</v>
      </c>
      <c r="U319" s="30">
        <f t="shared" si="143"/>
        <v>-1657.01</v>
      </c>
      <c r="V319" s="29">
        <f>2000-342.99</f>
        <v>1657.01</v>
      </c>
    </row>
    <row r="320" spans="1:22">
      <c r="A320" s="99"/>
      <c r="B320" s="99"/>
      <c r="C320" s="5"/>
      <c r="D320" s="100"/>
      <c r="E320" s="101"/>
      <c r="F320" s="27"/>
      <c r="H320" s="100"/>
      <c r="I320" s="101"/>
      <c r="J320" s="27"/>
      <c r="L320" s="100"/>
      <c r="M320" s="101"/>
      <c r="N320" s="27"/>
      <c r="P320" s="100"/>
      <c r="Q320" s="101"/>
      <c r="R320" s="27"/>
      <c r="T320" s="100"/>
      <c r="U320" s="101"/>
      <c r="V320" s="27"/>
    </row>
    <row r="321" spans="1:23">
      <c r="A321" s="3"/>
      <c r="B321" s="3"/>
      <c r="C321" s="5" t="s">
        <v>688</v>
      </c>
      <c r="D321" s="102">
        <f>SUM(D316,D311,D224,D187,D174,D129,D122,D38,D7)</f>
        <v>2020204.9</v>
      </c>
      <c r="E321" s="103">
        <f>SUM(E316,E311,E224,E187,E174,E129,E122,E38,E7)</f>
        <v>0</v>
      </c>
      <c r="F321" s="102">
        <f>SUM(F316,F311,F224,F187,F174,F129,F122,F38,F7)</f>
        <v>2020204.9000000001</v>
      </c>
      <c r="H321" s="102">
        <f>SUM(H316,H311,H224,H187,H174,H129,H122,H38,H7)</f>
        <v>1933715.8199999998</v>
      </c>
      <c r="I321" s="103">
        <f>SUM(I316,I311,I224,I187,I174,I129,I122,I38,I7)</f>
        <v>0</v>
      </c>
      <c r="J321" s="102">
        <f>SUM(J316,J311,J224,J187,J174,J129,J122,J38,J7)</f>
        <v>1933715.82</v>
      </c>
      <c r="K321" s="5"/>
      <c r="L321" s="102">
        <f>SUM(L316,L311,L224,L187,L174,L129,L122,L38,L7)</f>
        <v>1994510.8199999998</v>
      </c>
      <c r="M321" s="103">
        <f>SUM(M316,M311,M224,M187,M174,M129,M122,M38,M7)</f>
        <v>0</v>
      </c>
      <c r="N321" s="102">
        <f>SUM(N316,N311,N224,N187,N174,N129,N122,N38,N7)</f>
        <v>1994510.82</v>
      </c>
      <c r="P321" s="102">
        <v>2058608.96</v>
      </c>
      <c r="Q321" s="103">
        <v>0</v>
      </c>
      <c r="R321" s="102">
        <v>2058608.96</v>
      </c>
      <c r="T321" s="102">
        <f>SUM(T316,T311,T224,T187,T174,T129,T122,T38,T7)</f>
        <v>2094866.47</v>
      </c>
      <c r="U321" s="103">
        <f>SUM(U316,U311,U224,U187,U174,U129,U122,U38,U7)</f>
        <v>8741.0699999999488</v>
      </c>
      <c r="V321" s="102">
        <f>SUM(V316,V311,V224,V187,V174,V129,V122,V38,V7)</f>
        <v>2086125.4</v>
      </c>
    </row>
    <row r="324" spans="1:23">
      <c r="D324" s="104"/>
      <c r="H324" s="104"/>
      <c r="L324" s="104"/>
      <c r="U324" s="104"/>
    </row>
    <row r="332" spans="1:23">
      <c r="W332" s="104"/>
    </row>
  </sheetData>
  <mergeCells count="4">
    <mergeCell ref="D4:F4"/>
    <mergeCell ref="H4:J4"/>
    <mergeCell ref="L4:N4"/>
    <mergeCell ref="T4:V4"/>
  </mergeCells>
  <pageMargins left="0.7" right="0.7" top="0.78740157500000008" bottom="0.78740157500000008" header="0.3" footer="0.3"/>
  <pageSetup paperSize="9" scale="88" fitToHeight="0" orientation="landscape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45"/>
  <sheetViews>
    <sheetView workbookViewId="0">
      <pane ySplit="7" topLeftCell="A8" activePane="bottomLeft" state="frozen"/>
      <selection activeCell="D5" sqref="D5:F5"/>
      <selection pane="bottomLeft"/>
    </sheetView>
  </sheetViews>
  <sheetFormatPr baseColWidth="10" defaultColWidth="10.90625" defaultRowHeight="14.5"/>
  <cols>
    <col min="1" max="2" width="13.54296875" customWidth="1"/>
    <col min="3" max="3" width="35.54296875" bestFit="1" customWidth="1"/>
    <col min="4" max="4" width="15.453125" bestFit="1" customWidth="1"/>
    <col min="5" max="5" width="13.90625" bestFit="1" customWidth="1"/>
    <col min="6" max="6" width="15.453125" bestFit="1" customWidth="1"/>
    <col min="7" max="7" width="4.54296875" customWidth="1"/>
    <col min="8" max="8" width="15.08984375" bestFit="1" customWidth="1"/>
    <col min="9" max="9" width="13.90625" bestFit="1" customWidth="1"/>
    <col min="10" max="10" width="14.08984375" bestFit="1" customWidth="1"/>
    <col min="11" max="11" width="6.54296875" customWidth="1"/>
  </cols>
  <sheetData>
    <row r="1" spans="1:7" ht="23.5">
      <c r="A1" s="105" t="s">
        <v>689</v>
      </c>
      <c r="B1" s="105"/>
    </row>
    <row r="2" spans="1:7">
      <c r="A2" s="79" t="s">
        <v>690</v>
      </c>
      <c r="B2" s="79"/>
    </row>
    <row r="3" spans="1:7">
      <c r="A3" s="4"/>
      <c r="B3" s="4"/>
      <c r="C3" s="2"/>
      <c r="D3" s="2" t="s">
        <v>691</v>
      </c>
      <c r="E3" s="5" t="s">
        <v>2</v>
      </c>
      <c r="F3" s="5" t="s">
        <v>692</v>
      </c>
    </row>
    <row r="4" spans="1:7">
      <c r="A4" s="4"/>
      <c r="B4" s="4"/>
      <c r="C4" s="2"/>
      <c r="D4" s="6">
        <v>34104</v>
      </c>
      <c r="E4" s="7">
        <v>32500</v>
      </c>
      <c r="F4" s="7">
        <v>33000</v>
      </c>
    </row>
    <row r="5" spans="1:7" ht="21">
      <c r="A5" s="8"/>
      <c r="B5" s="8"/>
      <c r="C5" s="8"/>
      <c r="D5" s="135" t="s">
        <v>6</v>
      </c>
      <c r="E5" s="135"/>
      <c r="F5" s="135"/>
    </row>
    <row r="6" spans="1:7" ht="21">
      <c r="A6" s="12" t="s">
        <v>8</v>
      </c>
      <c r="B6" s="13" t="s">
        <v>9</v>
      </c>
      <c r="C6" s="13" t="s">
        <v>10</v>
      </c>
      <c r="D6" s="14" t="s">
        <v>11</v>
      </c>
      <c r="E6" s="15" t="s">
        <v>12</v>
      </c>
      <c r="F6" s="14" t="s">
        <v>13</v>
      </c>
    </row>
    <row r="8" spans="1:7" ht="21">
      <c r="A8" s="47" t="s">
        <v>693</v>
      </c>
      <c r="B8" s="48"/>
      <c r="C8" s="49" t="s">
        <v>694</v>
      </c>
      <c r="D8" s="50">
        <f>D9+D11+D21+D41+D31</f>
        <v>17670108.240000002</v>
      </c>
      <c r="E8" s="64">
        <f>E9+E11+E21+E41</f>
        <v>0</v>
      </c>
      <c r="F8" s="50">
        <f>F9+F11+F21+F41+F31</f>
        <v>17670108.240000002</v>
      </c>
      <c r="G8" s="106"/>
    </row>
    <row r="9" spans="1:7">
      <c r="A9" s="18" t="s">
        <v>695</v>
      </c>
      <c r="B9" s="19"/>
      <c r="C9" s="20" t="s">
        <v>696</v>
      </c>
      <c r="D9" s="21">
        <f>SUM(D10)</f>
        <v>0</v>
      </c>
      <c r="E9" s="21">
        <f>SUM(E10)</f>
        <v>0</v>
      </c>
      <c r="F9" s="21">
        <f>SUM(F10)</f>
        <v>0</v>
      </c>
      <c r="G9" s="106"/>
    </row>
    <row r="10" spans="1:7">
      <c r="A10" s="24" t="s">
        <v>697</v>
      </c>
      <c r="B10" s="31" t="s">
        <v>698</v>
      </c>
      <c r="C10" s="32" t="s">
        <v>19</v>
      </c>
      <c r="D10" s="29">
        <v>0</v>
      </c>
      <c r="E10" s="61">
        <f>-F10+D10</f>
        <v>0</v>
      </c>
      <c r="F10" s="29">
        <v>0</v>
      </c>
      <c r="G10" s="106"/>
    </row>
    <row r="11" spans="1:7">
      <c r="A11" s="39" t="s">
        <v>699</v>
      </c>
      <c r="B11" s="40"/>
      <c r="C11" s="20" t="s">
        <v>700</v>
      </c>
      <c r="D11" s="21">
        <f>SUM(D12:D20)</f>
        <v>3258798.24</v>
      </c>
      <c r="E11" s="21">
        <f>SUM(E12:E20)</f>
        <v>0</v>
      </c>
      <c r="F11" s="21">
        <f>SUM(F12:F20)</f>
        <v>3258798.24</v>
      </c>
      <c r="G11" s="106"/>
    </row>
    <row r="12" spans="1:7">
      <c r="A12" s="36" t="s">
        <v>701</v>
      </c>
      <c r="B12" s="37" t="s">
        <v>702</v>
      </c>
      <c r="C12" s="32" t="s">
        <v>703</v>
      </c>
      <c r="D12" s="29">
        <f>D4*154.56-833480*3</f>
        <v>2770674.24</v>
      </c>
      <c r="E12" s="61">
        <f t="shared" ref="E12:E20" si="0">-F12+D12</f>
        <v>2770674.24</v>
      </c>
      <c r="F12" s="29">
        <v>0</v>
      </c>
      <c r="G12" s="106"/>
    </row>
    <row r="13" spans="1:7">
      <c r="A13" s="36"/>
      <c r="B13" s="37" t="s">
        <v>704</v>
      </c>
      <c r="C13" s="32" t="s">
        <v>705</v>
      </c>
      <c r="D13" s="29">
        <v>0</v>
      </c>
      <c r="E13" s="59">
        <f t="shared" si="0"/>
        <v>0</v>
      </c>
      <c r="F13" s="29">
        <v>0</v>
      </c>
      <c r="G13" s="106"/>
    </row>
    <row r="14" spans="1:7">
      <c r="A14" s="36" t="s">
        <v>706</v>
      </c>
      <c r="B14" s="37" t="s">
        <v>707</v>
      </c>
      <c r="C14" s="32" t="s">
        <v>708</v>
      </c>
      <c r="D14" s="29">
        <f>D4*58.5-1506960</f>
        <v>488124</v>
      </c>
      <c r="E14" s="61">
        <f t="shared" si="0"/>
        <v>488124</v>
      </c>
      <c r="F14" s="29">
        <v>0</v>
      </c>
      <c r="G14" s="106"/>
    </row>
    <row r="15" spans="1:7">
      <c r="A15" s="36"/>
      <c r="B15" s="37" t="s">
        <v>709</v>
      </c>
      <c r="C15" s="32" t="s">
        <v>710</v>
      </c>
      <c r="D15" s="29">
        <v>0</v>
      </c>
      <c r="E15" s="61">
        <f t="shared" si="0"/>
        <v>0</v>
      </c>
      <c r="F15" s="29">
        <v>0</v>
      </c>
      <c r="G15" s="106"/>
    </row>
    <row r="16" spans="1:7">
      <c r="A16" s="36" t="s">
        <v>711</v>
      </c>
      <c r="B16" s="37" t="s">
        <v>712</v>
      </c>
      <c r="C16" s="54" t="s">
        <v>713</v>
      </c>
      <c r="D16" s="27">
        <v>0</v>
      </c>
      <c r="E16" s="59">
        <f t="shared" si="0"/>
        <v>0</v>
      </c>
      <c r="F16" s="27">
        <v>0</v>
      </c>
      <c r="G16" s="106"/>
    </row>
    <row r="17" spans="1:7">
      <c r="A17" s="36"/>
      <c r="B17" s="37" t="s">
        <v>714</v>
      </c>
      <c r="C17" s="54" t="s">
        <v>715</v>
      </c>
      <c r="D17" s="27">
        <v>0</v>
      </c>
      <c r="E17" s="59">
        <f t="shared" si="0"/>
        <v>-2770674.24</v>
      </c>
      <c r="F17" s="29">
        <f>D10*(154.56/213.06)+D12+D16-F20*(154.56/213.06)</f>
        <v>2770674.24</v>
      </c>
      <c r="G17" s="106"/>
    </row>
    <row r="18" spans="1:7">
      <c r="A18" s="36" t="s">
        <v>716</v>
      </c>
      <c r="B18" s="37" t="s">
        <v>717</v>
      </c>
      <c r="C18" s="54" t="s">
        <v>718</v>
      </c>
      <c r="D18" s="27">
        <v>0</v>
      </c>
      <c r="E18" s="59">
        <f t="shared" si="0"/>
        <v>0</v>
      </c>
      <c r="F18" s="27">
        <v>0</v>
      </c>
      <c r="G18" s="106"/>
    </row>
    <row r="19" spans="1:7">
      <c r="A19" s="36"/>
      <c r="B19" s="37" t="s">
        <v>719</v>
      </c>
      <c r="C19" s="54" t="s">
        <v>720</v>
      </c>
      <c r="D19" s="27">
        <v>0</v>
      </c>
      <c r="E19" s="59">
        <f t="shared" si="0"/>
        <v>-488124</v>
      </c>
      <c r="F19" s="29">
        <f>D10*(58.5/213.06)+D14+D18-F20*(58.5/213.06)</f>
        <v>488124</v>
      </c>
      <c r="G19" s="106"/>
    </row>
    <row r="20" spans="1:7">
      <c r="A20" s="36" t="s">
        <v>721</v>
      </c>
      <c r="B20" s="37" t="s">
        <v>722</v>
      </c>
      <c r="C20" s="54" t="s">
        <v>723</v>
      </c>
      <c r="D20" s="38">
        <v>0</v>
      </c>
      <c r="E20" s="61">
        <f t="shared" si="0"/>
        <v>0</v>
      </c>
      <c r="F20" s="29">
        <v>0</v>
      </c>
      <c r="G20" s="106"/>
    </row>
    <row r="21" spans="1:7">
      <c r="A21" s="39" t="s">
        <v>724</v>
      </c>
      <c r="B21" s="40"/>
      <c r="C21" s="35" t="s">
        <v>725</v>
      </c>
      <c r="D21" s="21">
        <f>SUM(D22:D30)</f>
        <v>7150650</v>
      </c>
      <c r="E21" s="21">
        <f>SUM(E22:E30)</f>
        <v>0</v>
      </c>
      <c r="F21" s="21">
        <f>SUM(F22:F30)</f>
        <v>7150650</v>
      </c>
      <c r="G21" s="107"/>
    </row>
    <row r="22" spans="1:7">
      <c r="A22" s="36" t="s">
        <v>726</v>
      </c>
      <c r="B22" s="37" t="s">
        <v>727</v>
      </c>
      <c r="C22" s="54" t="s">
        <v>713</v>
      </c>
      <c r="D22" s="27">
        <f>E4*160.62</f>
        <v>5220150</v>
      </c>
      <c r="E22" s="59">
        <f t="shared" ref="E22:E30" si="1">-F22+D22</f>
        <v>5220150</v>
      </c>
      <c r="F22" s="27">
        <v>0</v>
      </c>
      <c r="G22" s="107"/>
    </row>
    <row r="23" spans="1:7">
      <c r="A23" s="36"/>
      <c r="B23" s="37" t="s">
        <v>728</v>
      </c>
      <c r="C23" s="54" t="s">
        <v>715</v>
      </c>
      <c r="D23" s="27">
        <v>0</v>
      </c>
      <c r="E23" s="59">
        <f t="shared" si="1"/>
        <v>-5220150</v>
      </c>
      <c r="F23" s="27">
        <f>D22-F30*(160.62/220.02)</f>
        <v>5220150</v>
      </c>
      <c r="G23" s="107"/>
    </row>
    <row r="24" spans="1:7">
      <c r="A24" s="36" t="s">
        <v>729</v>
      </c>
      <c r="B24" s="37" t="s">
        <v>730</v>
      </c>
      <c r="C24" s="54" t="s">
        <v>718</v>
      </c>
      <c r="D24" s="29">
        <f>E4*59.4</f>
        <v>1930500</v>
      </c>
      <c r="E24" s="61">
        <f t="shared" si="1"/>
        <v>1930500</v>
      </c>
      <c r="F24" s="29">
        <v>0</v>
      </c>
      <c r="G24" s="107"/>
    </row>
    <row r="25" spans="1:7">
      <c r="A25" s="36"/>
      <c r="B25" s="37" t="s">
        <v>731</v>
      </c>
      <c r="C25" s="54" t="s">
        <v>720</v>
      </c>
      <c r="D25" s="29">
        <v>0</v>
      </c>
      <c r="E25" s="61">
        <f t="shared" si="1"/>
        <v>-1930500</v>
      </c>
      <c r="F25" s="29">
        <f>D24-F30*(59.4/220.02)</f>
        <v>1930500</v>
      </c>
      <c r="G25" s="107"/>
    </row>
    <row r="26" spans="1:7">
      <c r="A26" s="36" t="s">
        <v>732</v>
      </c>
      <c r="B26" s="37" t="s">
        <v>733</v>
      </c>
      <c r="C26" s="54" t="s">
        <v>703</v>
      </c>
      <c r="D26" s="27">
        <v>0</v>
      </c>
      <c r="E26" s="59">
        <f t="shared" si="1"/>
        <v>0</v>
      </c>
      <c r="F26" s="27">
        <v>0</v>
      </c>
      <c r="G26" s="107"/>
    </row>
    <row r="27" spans="1:7">
      <c r="A27" s="36"/>
      <c r="B27" s="37" t="s">
        <v>734</v>
      </c>
      <c r="C27" s="54" t="s">
        <v>705</v>
      </c>
      <c r="D27" s="27">
        <v>0</v>
      </c>
      <c r="E27" s="59">
        <f t="shared" si="1"/>
        <v>0</v>
      </c>
      <c r="F27" s="27">
        <v>0</v>
      </c>
      <c r="G27" s="107"/>
    </row>
    <row r="28" spans="1:7">
      <c r="A28" s="36" t="s">
        <v>735</v>
      </c>
      <c r="B28" s="37" t="s">
        <v>736</v>
      </c>
      <c r="C28" s="54" t="s">
        <v>708</v>
      </c>
      <c r="D28" s="27">
        <v>0</v>
      </c>
      <c r="E28" s="59">
        <f t="shared" si="1"/>
        <v>0</v>
      </c>
      <c r="F28" s="27">
        <v>0</v>
      </c>
      <c r="G28" s="107"/>
    </row>
    <row r="29" spans="1:7">
      <c r="A29" s="36"/>
      <c r="B29" s="37" t="s">
        <v>737</v>
      </c>
      <c r="C29" s="54" t="s">
        <v>710</v>
      </c>
      <c r="D29" s="27">
        <v>0</v>
      </c>
      <c r="E29" s="59">
        <f t="shared" si="1"/>
        <v>0</v>
      </c>
      <c r="F29" s="27">
        <v>0</v>
      </c>
      <c r="G29" s="107"/>
    </row>
    <row r="30" spans="1:7">
      <c r="A30" s="36" t="s">
        <v>738</v>
      </c>
      <c r="B30" s="37" t="s">
        <v>739</v>
      </c>
      <c r="C30" s="32" t="s">
        <v>723</v>
      </c>
      <c r="D30" s="29">
        <v>0</v>
      </c>
      <c r="E30" s="61">
        <f t="shared" si="1"/>
        <v>0</v>
      </c>
      <c r="F30" s="29">
        <v>0</v>
      </c>
      <c r="G30" s="107"/>
    </row>
    <row r="31" spans="1:7">
      <c r="A31" s="74" t="s">
        <v>740</v>
      </c>
      <c r="B31" s="75"/>
      <c r="C31" s="76" t="s">
        <v>741</v>
      </c>
      <c r="D31" s="77">
        <f>SUM(D32:D40)</f>
        <v>7260660</v>
      </c>
      <c r="E31" s="108">
        <f>SUM(E32:E40)</f>
        <v>0</v>
      </c>
      <c r="F31" s="77">
        <f>SUM(F32:F40)</f>
        <v>7260660</v>
      </c>
      <c r="G31" s="107"/>
    </row>
    <row r="32" spans="1:7">
      <c r="A32" s="36" t="s">
        <v>742</v>
      </c>
      <c r="B32" s="37" t="s">
        <v>743</v>
      </c>
      <c r="C32" s="32" t="s">
        <v>703</v>
      </c>
      <c r="D32" s="29">
        <v>0</v>
      </c>
      <c r="E32" s="61">
        <f t="shared" ref="E32:E40" si="2">-F32+D32</f>
        <v>0</v>
      </c>
      <c r="F32" s="29">
        <v>0</v>
      </c>
      <c r="G32" s="107"/>
    </row>
    <row r="33" spans="1:7">
      <c r="A33" s="36"/>
      <c r="B33" s="37" t="s">
        <v>744</v>
      </c>
      <c r="C33" s="32" t="s">
        <v>705</v>
      </c>
      <c r="D33" s="29">
        <v>0</v>
      </c>
      <c r="E33" s="61">
        <f t="shared" si="2"/>
        <v>0</v>
      </c>
      <c r="F33" s="29">
        <v>0</v>
      </c>
      <c r="G33" s="107"/>
    </row>
    <row r="34" spans="1:7">
      <c r="A34" s="36" t="s">
        <v>745</v>
      </c>
      <c r="B34" s="37" t="s">
        <v>746</v>
      </c>
      <c r="C34" s="32" t="s">
        <v>708</v>
      </c>
      <c r="D34" s="29">
        <v>0</v>
      </c>
      <c r="E34" s="61">
        <f t="shared" si="2"/>
        <v>0</v>
      </c>
      <c r="F34" s="29">
        <v>0</v>
      </c>
      <c r="G34" s="107"/>
    </row>
    <row r="35" spans="1:7">
      <c r="A35" s="36"/>
      <c r="B35" s="37" t="s">
        <v>747</v>
      </c>
      <c r="C35" s="32" t="s">
        <v>710</v>
      </c>
      <c r="D35" s="29">
        <v>0</v>
      </c>
      <c r="E35" s="61">
        <f t="shared" si="2"/>
        <v>0</v>
      </c>
      <c r="F35" s="29">
        <v>0</v>
      </c>
      <c r="G35" s="107"/>
    </row>
    <row r="36" spans="1:7">
      <c r="A36" s="36" t="s">
        <v>748</v>
      </c>
      <c r="B36" s="37" t="s">
        <v>749</v>
      </c>
      <c r="C36" s="54" t="s">
        <v>713</v>
      </c>
      <c r="D36" s="29">
        <f>F4*160.62</f>
        <v>5300460</v>
      </c>
      <c r="E36" s="61">
        <f t="shared" si="2"/>
        <v>5300460</v>
      </c>
      <c r="F36" s="29">
        <v>0</v>
      </c>
      <c r="G36" s="107"/>
    </row>
    <row r="37" spans="1:7">
      <c r="A37" s="36"/>
      <c r="B37" s="37" t="s">
        <v>750</v>
      </c>
      <c r="C37" s="54" t="s">
        <v>715</v>
      </c>
      <c r="D37" s="29">
        <v>0</v>
      </c>
      <c r="E37" s="61">
        <f t="shared" si="2"/>
        <v>-5300460</v>
      </c>
      <c r="F37" s="29">
        <f>D36-F40*(160.62/220.02)</f>
        <v>5300460</v>
      </c>
      <c r="G37" s="107"/>
    </row>
    <row r="38" spans="1:7">
      <c r="A38" s="36" t="s">
        <v>751</v>
      </c>
      <c r="B38" s="37" t="s">
        <v>717</v>
      </c>
      <c r="C38" s="54" t="s">
        <v>718</v>
      </c>
      <c r="D38" s="29">
        <f>F4*59.4</f>
        <v>1960200</v>
      </c>
      <c r="E38" s="61">
        <f t="shared" si="2"/>
        <v>1960200</v>
      </c>
      <c r="F38" s="29">
        <v>0</v>
      </c>
      <c r="G38" s="107"/>
    </row>
    <row r="39" spans="1:7">
      <c r="A39" s="36"/>
      <c r="B39" s="37" t="s">
        <v>719</v>
      </c>
      <c r="C39" s="54" t="s">
        <v>720</v>
      </c>
      <c r="D39" s="29">
        <v>0</v>
      </c>
      <c r="E39" s="61">
        <f t="shared" si="2"/>
        <v>-1960200</v>
      </c>
      <c r="F39" s="29">
        <f>(D38-F40*(59.4/220.02))</f>
        <v>1960200</v>
      </c>
      <c r="G39" s="107"/>
    </row>
    <row r="40" spans="1:7">
      <c r="A40" s="36" t="s">
        <v>752</v>
      </c>
      <c r="B40" s="37" t="s">
        <v>753</v>
      </c>
      <c r="C40" s="54" t="s">
        <v>754</v>
      </c>
      <c r="D40" s="29">
        <v>0</v>
      </c>
      <c r="E40" s="61">
        <f t="shared" si="2"/>
        <v>0</v>
      </c>
      <c r="F40" s="29">
        <v>0</v>
      </c>
      <c r="G40" s="107"/>
    </row>
    <row r="41" spans="1:7">
      <c r="A41" s="39" t="s">
        <v>755</v>
      </c>
      <c r="B41" s="40"/>
      <c r="C41" s="35" t="s">
        <v>756</v>
      </c>
      <c r="D41" s="21">
        <f>SUM(D42:D43)</f>
        <v>0</v>
      </c>
      <c r="E41" s="21">
        <f>SUM(E42:E43)</f>
        <v>0</v>
      </c>
      <c r="F41" s="21">
        <f>SUM(F42:F43)</f>
        <v>0</v>
      </c>
      <c r="G41" s="107"/>
    </row>
    <row r="42" spans="1:7">
      <c r="A42" s="36" t="s">
        <v>757</v>
      </c>
      <c r="B42" s="37" t="s">
        <v>758</v>
      </c>
      <c r="C42" s="32" t="s">
        <v>759</v>
      </c>
      <c r="D42" s="29">
        <v>0</v>
      </c>
      <c r="E42" s="61">
        <f t="shared" ref="E42:E43" si="3">-F42+D42</f>
        <v>0</v>
      </c>
      <c r="F42" s="29">
        <v>0</v>
      </c>
      <c r="G42" s="107"/>
    </row>
    <row r="43" spans="1:7">
      <c r="A43" s="36" t="s">
        <v>760</v>
      </c>
      <c r="B43" s="37" t="s">
        <v>761</v>
      </c>
      <c r="C43" s="32" t="s">
        <v>762</v>
      </c>
      <c r="D43" s="29">
        <v>0</v>
      </c>
      <c r="E43" s="61">
        <f t="shared" si="3"/>
        <v>0</v>
      </c>
      <c r="F43" s="29">
        <v>0</v>
      </c>
      <c r="G43" s="107"/>
    </row>
    <row r="45" spans="1:7">
      <c r="A45" s="3"/>
      <c r="B45" s="3"/>
      <c r="C45" s="5" t="s">
        <v>688</v>
      </c>
      <c r="D45" s="102">
        <f>SUM(D9,D11,D21,D41,D31)</f>
        <v>17670108.240000002</v>
      </c>
      <c r="E45" s="102">
        <f>SUM(E9,E11,E21,E31,E41)</f>
        <v>0</v>
      </c>
      <c r="F45" s="102">
        <f>SUM(F9,F11,F21,F41,F31)</f>
        <v>17670108.240000002</v>
      </c>
    </row>
  </sheetData>
  <mergeCells count="1">
    <mergeCell ref="D5:F5"/>
  </mergeCells>
  <pageMargins left="0.7" right="0.7" top="0.78740157500000008" bottom="0.78740157500000008" header="0.3" footer="0.3"/>
  <pageSetup paperSize="9" fitToHeight="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8"/>
  <sheetViews>
    <sheetView topLeftCell="A9" zoomScale="88" workbookViewId="0">
      <selection activeCell="E10" sqref="E10"/>
    </sheetView>
  </sheetViews>
  <sheetFormatPr baseColWidth="10" defaultRowHeight="14.5"/>
  <cols>
    <col min="1" max="1" width="56.36328125" customWidth="1"/>
    <col min="2" max="2" width="17.1796875" customWidth="1"/>
    <col min="3" max="3" width="18.1796875" customWidth="1"/>
    <col min="4" max="4" width="19.1796875" customWidth="1"/>
    <col min="5" max="5" width="23.90625" customWidth="1"/>
    <col min="6" max="6" width="20" customWidth="1"/>
    <col min="8" max="8" width="14.36328125" bestFit="1" customWidth="1"/>
  </cols>
  <sheetData>
    <row r="1" spans="1:6">
      <c r="A1" t="s">
        <v>763</v>
      </c>
    </row>
    <row r="2" spans="1:6">
      <c r="B2" s="79" t="s">
        <v>764</v>
      </c>
      <c r="C2" s="109" t="s">
        <v>765</v>
      </c>
      <c r="D2" s="109" t="s">
        <v>766</v>
      </c>
      <c r="E2" s="109" t="s">
        <v>767</v>
      </c>
      <c r="F2" s="109" t="s">
        <v>768</v>
      </c>
    </row>
    <row r="3" spans="1:6">
      <c r="A3" s="110" t="s">
        <v>769</v>
      </c>
      <c r="B3" s="111">
        <v>152717.16</v>
      </c>
      <c r="C3" s="111">
        <v>174605.99000000002</v>
      </c>
      <c r="D3" s="111">
        <v>666048.73</v>
      </c>
      <c r="E3" s="111">
        <v>558937.04</v>
      </c>
      <c r="F3" s="111"/>
    </row>
    <row r="4" spans="1:6">
      <c r="A4" s="110" t="s">
        <v>770</v>
      </c>
      <c r="B4" s="111">
        <v>151809.82</v>
      </c>
      <c r="C4" s="111">
        <v>53567.81</v>
      </c>
      <c r="D4" s="111">
        <v>210780.76</v>
      </c>
      <c r="E4" s="111">
        <v>177829.95</v>
      </c>
      <c r="F4" s="111"/>
    </row>
    <row r="5" spans="1:6">
      <c r="A5" s="110" t="s">
        <v>771</v>
      </c>
      <c r="B5" s="111">
        <v>16699.78</v>
      </c>
      <c r="C5" s="111">
        <v>30302.11</v>
      </c>
      <c r="D5" s="111">
        <v>34406.620000000003</v>
      </c>
      <c r="E5" s="111">
        <v>45476.45</v>
      </c>
      <c r="F5" s="111"/>
    </row>
    <row r="6" spans="1:6">
      <c r="A6" s="110" t="s">
        <v>772</v>
      </c>
      <c r="B6" s="111">
        <v>1383970.26</v>
      </c>
      <c r="C6" s="111">
        <v>1415448.76</v>
      </c>
      <c r="D6" s="111">
        <v>2860044.22</v>
      </c>
      <c r="E6" s="111">
        <v>2275883.09</v>
      </c>
      <c r="F6" s="111"/>
    </row>
    <row r="7" spans="1:6">
      <c r="A7" s="110" t="s">
        <v>773</v>
      </c>
      <c r="B7" s="111">
        <v>560000</v>
      </c>
      <c r="C7" s="111">
        <v>745000</v>
      </c>
      <c r="D7" s="111">
        <v>0</v>
      </c>
      <c r="E7" s="111">
        <v>0</v>
      </c>
      <c r="F7" s="111">
        <v>0</v>
      </c>
    </row>
    <row r="8" spans="1:6">
      <c r="A8" s="110" t="s">
        <v>774</v>
      </c>
      <c r="B8" s="111">
        <v>2238110</v>
      </c>
      <c r="C8" s="111">
        <v>1870000</v>
      </c>
      <c r="D8" s="111">
        <v>0</v>
      </c>
      <c r="E8" s="111">
        <v>0</v>
      </c>
      <c r="F8" s="111">
        <v>0</v>
      </c>
    </row>
    <row r="9" spans="1:6">
      <c r="A9" s="110" t="s">
        <v>775</v>
      </c>
      <c r="B9" s="111">
        <v>0</v>
      </c>
      <c r="C9" s="111">
        <v>0</v>
      </c>
      <c r="D9" s="111">
        <v>0</v>
      </c>
      <c r="E9" s="111">
        <v>0</v>
      </c>
      <c r="F9" s="111">
        <v>0</v>
      </c>
    </row>
    <row r="10" spans="1:6">
      <c r="A10" s="110" t="s">
        <v>776</v>
      </c>
      <c r="B10" s="111">
        <v>6279.89</v>
      </c>
      <c r="C10" s="111">
        <v>6354.34</v>
      </c>
      <c r="D10" s="111">
        <v>10845.6</v>
      </c>
      <c r="E10" s="111">
        <v>13054.14</v>
      </c>
      <c r="F10" s="111"/>
    </row>
    <row r="11" spans="1:6">
      <c r="A11" s="112" t="s">
        <v>777</v>
      </c>
      <c r="B11" s="113">
        <v>4509586.9099999992</v>
      </c>
      <c r="C11" s="113">
        <v>4295279.01</v>
      </c>
      <c r="D11" s="113">
        <v>3782125.93</v>
      </c>
      <c r="E11" s="113">
        <f>SUM(E3:E10)</f>
        <v>3071180.67</v>
      </c>
      <c r="F11" s="113">
        <f>SUM(F3:F10)</f>
        <v>0</v>
      </c>
    </row>
    <row r="12" spans="1:6">
      <c r="B12" s="114"/>
    </row>
    <row r="13" spans="1:6">
      <c r="A13" s="112" t="s">
        <v>756</v>
      </c>
      <c r="B13" s="114"/>
    </row>
    <row r="14" spans="1:6">
      <c r="A14" t="s">
        <v>694</v>
      </c>
      <c r="B14" s="114">
        <v>0</v>
      </c>
      <c r="C14" s="114">
        <v>0</v>
      </c>
      <c r="D14" s="114">
        <v>0</v>
      </c>
      <c r="E14" s="114">
        <v>0</v>
      </c>
      <c r="F14" s="114">
        <v>0</v>
      </c>
    </row>
    <row r="15" spans="1:6">
      <c r="A15" t="s">
        <v>778</v>
      </c>
      <c r="B15" s="114">
        <v>0</v>
      </c>
      <c r="C15" s="114">
        <v>0</v>
      </c>
      <c r="D15" s="114">
        <v>0</v>
      </c>
      <c r="E15" s="114">
        <v>0</v>
      </c>
      <c r="F15" s="114">
        <v>0</v>
      </c>
    </row>
    <row r="16" spans="1:6">
      <c r="A16" t="s">
        <v>779</v>
      </c>
      <c r="B16" s="114">
        <v>0</v>
      </c>
      <c r="C16" s="114">
        <v>0</v>
      </c>
      <c r="D16" s="114">
        <v>0</v>
      </c>
      <c r="E16" s="114">
        <v>0</v>
      </c>
      <c r="F16" s="114">
        <v>0</v>
      </c>
    </row>
    <row r="17" spans="1:8">
      <c r="A17" t="s">
        <v>780</v>
      </c>
      <c r="B17" s="114">
        <v>0</v>
      </c>
      <c r="C17" s="114">
        <v>0</v>
      </c>
      <c r="D17" s="114">
        <v>0</v>
      </c>
      <c r="E17" s="114">
        <v>0</v>
      </c>
      <c r="F17" s="114">
        <v>0</v>
      </c>
    </row>
    <row r="18" spans="1:8">
      <c r="A18" t="s">
        <v>781</v>
      </c>
      <c r="B18" s="114">
        <v>0</v>
      </c>
      <c r="C18" s="114">
        <v>0</v>
      </c>
      <c r="D18" s="114">
        <v>0</v>
      </c>
      <c r="E18" s="114">
        <v>0</v>
      </c>
      <c r="F18" s="114">
        <v>0</v>
      </c>
    </row>
    <row r="19" spans="1:8">
      <c r="A19" s="112" t="s">
        <v>777</v>
      </c>
      <c r="B19" s="113">
        <v>0</v>
      </c>
      <c r="C19" s="113">
        <v>0</v>
      </c>
      <c r="D19" s="113">
        <v>0</v>
      </c>
      <c r="E19" s="113">
        <v>0</v>
      </c>
      <c r="F19" s="113">
        <v>0</v>
      </c>
    </row>
    <row r="20" spans="1:8">
      <c r="B20" s="114"/>
    </row>
    <row r="21" spans="1:8">
      <c r="A21" s="79" t="s">
        <v>782</v>
      </c>
      <c r="B21" s="109">
        <v>4509586.9099999992</v>
      </c>
      <c r="C21" s="109">
        <v>4295279.01</v>
      </c>
      <c r="D21" s="109">
        <v>3782125.93</v>
      </c>
      <c r="E21" s="109">
        <f>E11</f>
        <v>3071180.67</v>
      </c>
      <c r="F21" s="109">
        <f>F11</f>
        <v>0</v>
      </c>
    </row>
    <row r="22" spans="1:8">
      <c r="B22" s="114"/>
    </row>
    <row r="23" spans="1:8">
      <c r="A23" t="s">
        <v>783</v>
      </c>
      <c r="B23" s="114">
        <v>197809.42</v>
      </c>
      <c r="C23" s="114">
        <v>249920.06000000003</v>
      </c>
      <c r="D23" s="114">
        <v>294093.86</v>
      </c>
      <c r="E23" s="114">
        <v>299679.13</v>
      </c>
      <c r="F23" s="114"/>
    </row>
    <row r="24" spans="1:8">
      <c r="A24" t="s">
        <v>80</v>
      </c>
      <c r="B24" s="114">
        <v>46568.74</v>
      </c>
      <c r="C24" s="114">
        <v>33099.18</v>
      </c>
      <c r="D24" s="114">
        <v>60312.380000000005</v>
      </c>
      <c r="E24" s="114">
        <v>70346.014999999985</v>
      </c>
      <c r="F24" s="114"/>
    </row>
    <row r="25" spans="1:8">
      <c r="A25" t="s">
        <v>784</v>
      </c>
      <c r="B25" s="114"/>
      <c r="E25" s="115">
        <f>33000*1.5</f>
        <v>49500</v>
      </c>
      <c r="F25" s="115"/>
    </row>
    <row r="26" spans="1:8">
      <c r="A26" s="116" t="s">
        <v>16</v>
      </c>
      <c r="B26" s="117">
        <v>4265208.7499999991</v>
      </c>
      <c r="C26" s="117">
        <v>4012259.7699999996</v>
      </c>
      <c r="D26" s="117">
        <v>3427719.6900000004</v>
      </c>
      <c r="E26" s="117">
        <f>E21-E23-E24-25</f>
        <v>2701130.5249999999</v>
      </c>
      <c r="F26" s="117">
        <f>F21-F23-F24</f>
        <v>0</v>
      </c>
    </row>
    <row r="27" spans="1:8">
      <c r="B27" s="114"/>
    </row>
    <row r="28" spans="1:8">
      <c r="A28" t="s">
        <v>785</v>
      </c>
      <c r="B28" s="114">
        <v>0</v>
      </c>
      <c r="C28" s="114">
        <v>0</v>
      </c>
      <c r="D28" s="114">
        <v>0</v>
      </c>
      <c r="E28" s="114">
        <v>622742.25</v>
      </c>
      <c r="F28" s="114"/>
    </row>
    <row r="29" spans="1:8" ht="29">
      <c r="A29" s="118" t="s">
        <v>786</v>
      </c>
      <c r="B29" s="114">
        <v>3606498.6</v>
      </c>
      <c r="C29" s="114">
        <v>3059460</v>
      </c>
      <c r="D29" s="114">
        <v>3017715</v>
      </c>
      <c r="E29" s="115">
        <f>33000*220.02-2666160-1614600</f>
        <v>2979900</v>
      </c>
      <c r="F29" s="115"/>
      <c r="H29" s="115"/>
    </row>
    <row r="30" spans="1:8">
      <c r="A30" t="s">
        <v>787</v>
      </c>
      <c r="B30" s="114">
        <v>0</v>
      </c>
      <c r="C30" s="114">
        <v>0</v>
      </c>
      <c r="D30" s="114">
        <v>0</v>
      </c>
      <c r="E30" s="114">
        <v>0</v>
      </c>
      <c r="F30" s="114">
        <v>0</v>
      </c>
    </row>
    <row r="31" spans="1:8">
      <c r="A31" t="s">
        <v>788</v>
      </c>
      <c r="B31" s="114">
        <v>0</v>
      </c>
      <c r="C31" s="114">
        <v>0</v>
      </c>
      <c r="D31" s="114">
        <v>0</v>
      </c>
      <c r="E31" s="114">
        <v>0</v>
      </c>
      <c r="F31" s="114">
        <v>0</v>
      </c>
    </row>
    <row r="32" spans="1:8">
      <c r="A32" s="119" t="s">
        <v>789</v>
      </c>
      <c r="B32" s="117">
        <v>658710.14999999898</v>
      </c>
      <c r="C32" s="117">
        <v>952799.76999999955</v>
      </c>
      <c r="D32" s="117">
        <v>410004.69000000041</v>
      </c>
      <c r="E32" s="117">
        <f>E26-E29-E25+E28</f>
        <v>294472.77499999991</v>
      </c>
      <c r="F32" s="117">
        <f>F26-F29-F25+F28</f>
        <v>0</v>
      </c>
    </row>
    <row r="33" spans="1:6">
      <c r="A33" t="s">
        <v>790</v>
      </c>
      <c r="B33" s="114"/>
    </row>
    <row r="34" spans="1:6">
      <c r="B34" s="114"/>
    </row>
    <row r="35" spans="1:6">
      <c r="A35" s="119" t="s">
        <v>791</v>
      </c>
      <c r="B35" s="120">
        <v>125000</v>
      </c>
      <c r="C35" s="120">
        <v>125000.95</v>
      </c>
      <c r="D35" s="120">
        <v>125000.93</v>
      </c>
      <c r="E35" s="120">
        <v>125000.93</v>
      </c>
      <c r="F35" s="120">
        <v>125001.86</v>
      </c>
    </row>
    <row r="36" spans="1:6">
      <c r="A36" s="119" t="s">
        <v>792</v>
      </c>
      <c r="B36" s="120">
        <v>151851.53</v>
      </c>
      <c r="C36" s="120">
        <v>151852.68</v>
      </c>
      <c r="D36" s="120">
        <v>151852.65</v>
      </c>
      <c r="E36" s="120">
        <v>151852.65</v>
      </c>
      <c r="F36" s="120">
        <v>151853.76999999999</v>
      </c>
    </row>
    <row r="37" spans="1:6">
      <c r="A37" s="119" t="s">
        <v>793</v>
      </c>
      <c r="B37" s="120">
        <v>35383.760000000002</v>
      </c>
      <c r="C37" s="120">
        <v>30384.01</v>
      </c>
      <c r="D37" s="120">
        <v>30383.98</v>
      </c>
      <c r="E37" s="120">
        <v>30383.98</v>
      </c>
      <c r="F37" s="120">
        <v>30384.2</v>
      </c>
    </row>
    <row r="38" spans="1:6">
      <c r="A38" s="119" t="s">
        <v>794</v>
      </c>
      <c r="B38" s="120" t="s">
        <v>795</v>
      </c>
      <c r="C38" s="120" t="s">
        <v>795</v>
      </c>
      <c r="D38" s="120" t="s">
        <v>795</v>
      </c>
      <c r="E38" s="120" t="s">
        <v>795</v>
      </c>
      <c r="F38" s="120" t="s">
        <v>795</v>
      </c>
    </row>
  </sheetData>
  <pageMargins left="0.7" right="0.7" top="0.78740157500000008" bottom="0.78740157500000008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35"/>
  <sheetViews>
    <sheetView workbookViewId="0">
      <selection activeCell="I3" sqref="I3"/>
    </sheetView>
  </sheetViews>
  <sheetFormatPr baseColWidth="10" defaultRowHeight="14.5"/>
  <cols>
    <col min="1" max="1" width="31.90625" customWidth="1"/>
    <col min="3" max="3" width="12.54296875" bestFit="1" customWidth="1"/>
    <col min="4" max="4" width="15.90625" bestFit="1" customWidth="1"/>
    <col min="5" max="5" width="13.1796875" bestFit="1" customWidth="1"/>
    <col min="8" max="8" width="40.6328125" bestFit="1" customWidth="1"/>
    <col min="9" max="9" width="23.90625" bestFit="1" customWidth="1"/>
  </cols>
  <sheetData>
    <row r="1" spans="1:9" ht="21">
      <c r="A1" s="121" t="s">
        <v>796</v>
      </c>
      <c r="B1" s="121" t="s">
        <v>797</v>
      </c>
      <c r="C1" s="121" t="s">
        <v>798</v>
      </c>
      <c r="D1" s="121" t="s">
        <v>799</v>
      </c>
      <c r="E1" s="121" t="s">
        <v>800</v>
      </c>
      <c r="H1" s="122" t="s">
        <v>801</v>
      </c>
    </row>
    <row r="2" spans="1:9">
      <c r="A2" s="79" t="s">
        <v>802</v>
      </c>
      <c r="B2" s="79"/>
      <c r="C2" s="79"/>
      <c r="D2" s="79"/>
      <c r="E2" s="79"/>
      <c r="H2" t="s">
        <v>803</v>
      </c>
      <c r="I2" s="115">
        <f>26000</f>
        <v>26000</v>
      </c>
    </row>
    <row r="3" spans="1:9">
      <c r="A3" t="s">
        <v>804</v>
      </c>
      <c r="B3">
        <v>4</v>
      </c>
      <c r="C3" t="s">
        <v>805</v>
      </c>
      <c r="D3" s="115">
        <f>700*4</f>
        <v>2800</v>
      </c>
      <c r="E3" s="123">
        <f t="shared" ref="E3:E16" si="0">12*D3</f>
        <v>33600</v>
      </c>
      <c r="H3" t="s">
        <v>806</v>
      </c>
      <c r="I3" s="115">
        <v>155590</v>
      </c>
    </row>
    <row r="4" spans="1:9">
      <c r="A4" t="s">
        <v>807</v>
      </c>
      <c r="B4">
        <v>2</v>
      </c>
      <c r="C4" t="s">
        <v>808</v>
      </c>
      <c r="D4" s="115">
        <f>450*2</f>
        <v>900</v>
      </c>
      <c r="E4" s="123">
        <f t="shared" si="0"/>
        <v>10800</v>
      </c>
      <c r="H4" t="s">
        <v>809</v>
      </c>
      <c r="I4" s="115">
        <v>3600</v>
      </c>
    </row>
    <row r="5" spans="1:9">
      <c r="B5">
        <v>1</v>
      </c>
      <c r="C5" t="s">
        <v>810</v>
      </c>
      <c r="D5" s="115">
        <v>250</v>
      </c>
      <c r="E5" s="123">
        <f t="shared" si="0"/>
        <v>3000</v>
      </c>
      <c r="H5" s="124" t="s">
        <v>811</v>
      </c>
      <c r="I5" s="125">
        <v>5400</v>
      </c>
    </row>
    <row r="6" spans="1:9">
      <c r="A6" t="s">
        <v>812</v>
      </c>
      <c r="B6">
        <v>2</v>
      </c>
      <c r="C6" t="s">
        <v>810</v>
      </c>
      <c r="D6" s="115">
        <v>500</v>
      </c>
      <c r="E6" s="123">
        <f t="shared" si="0"/>
        <v>6000</v>
      </c>
      <c r="I6" s="123">
        <f>SUM(I2:I5)</f>
        <v>190590</v>
      </c>
    </row>
    <row r="7" spans="1:9">
      <c r="B7">
        <v>1</v>
      </c>
      <c r="C7" t="s">
        <v>810</v>
      </c>
      <c r="D7" s="115">
        <v>250</v>
      </c>
      <c r="E7" s="123">
        <f>4*D7</f>
        <v>1000</v>
      </c>
    </row>
    <row r="8" spans="1:9">
      <c r="A8" t="s">
        <v>813</v>
      </c>
      <c r="B8">
        <v>3</v>
      </c>
      <c r="C8" t="s">
        <v>810</v>
      </c>
      <c r="D8" s="115">
        <v>750</v>
      </c>
      <c r="E8" s="123">
        <f t="shared" si="0"/>
        <v>9000</v>
      </c>
    </row>
    <row r="9" spans="1:9">
      <c r="A9" t="s">
        <v>814</v>
      </c>
      <c r="B9">
        <v>4</v>
      </c>
      <c r="C9" t="s">
        <v>810</v>
      </c>
      <c r="D9" s="115">
        <v>1000</v>
      </c>
      <c r="E9" s="123">
        <f t="shared" si="0"/>
        <v>12000</v>
      </c>
    </row>
    <row r="10" spans="1:9">
      <c r="A10" t="s">
        <v>297</v>
      </c>
      <c r="B10">
        <v>1</v>
      </c>
      <c r="C10" t="s">
        <v>808</v>
      </c>
      <c r="D10" s="115">
        <v>450</v>
      </c>
      <c r="E10" s="123">
        <f>450*12</f>
        <v>5400</v>
      </c>
    </row>
    <row r="11" spans="1:9">
      <c r="B11">
        <v>6</v>
      </c>
      <c r="C11" t="s">
        <v>810</v>
      </c>
      <c r="D11" s="115">
        <f>6*250</f>
        <v>1500</v>
      </c>
      <c r="E11" s="123">
        <f>12*D11</f>
        <v>18000</v>
      </c>
    </row>
    <row r="12" spans="1:9">
      <c r="A12" t="s">
        <v>815</v>
      </c>
      <c r="B12">
        <v>2</v>
      </c>
      <c r="C12" t="s">
        <v>810</v>
      </c>
      <c r="D12" s="115">
        <v>500</v>
      </c>
      <c r="E12" s="123">
        <f t="shared" si="0"/>
        <v>6000</v>
      </c>
    </row>
    <row r="13" spans="1:9">
      <c r="B13">
        <v>2</v>
      </c>
      <c r="C13" t="s">
        <v>816</v>
      </c>
      <c r="D13" s="115">
        <v>400</v>
      </c>
      <c r="E13" s="123">
        <f>6*D13</f>
        <v>2400</v>
      </c>
    </row>
    <row r="14" spans="1:9">
      <c r="A14" t="s">
        <v>817</v>
      </c>
      <c r="B14">
        <v>4</v>
      </c>
      <c r="C14" t="s">
        <v>810</v>
      </c>
      <c r="D14" s="115">
        <f>4*250</f>
        <v>1000</v>
      </c>
      <c r="E14" s="115">
        <f t="shared" si="0"/>
        <v>12000</v>
      </c>
    </row>
    <row r="15" spans="1:9">
      <c r="A15" t="s">
        <v>818</v>
      </c>
      <c r="B15">
        <v>3</v>
      </c>
      <c r="C15" t="s">
        <v>810</v>
      </c>
      <c r="D15" s="115">
        <v>750</v>
      </c>
      <c r="E15" s="115">
        <f t="shared" si="0"/>
        <v>9000</v>
      </c>
    </row>
    <row r="16" spans="1:9">
      <c r="A16" t="s">
        <v>819</v>
      </c>
      <c r="B16">
        <v>2</v>
      </c>
      <c r="C16" t="s">
        <v>810</v>
      </c>
      <c r="D16" s="115">
        <v>500</v>
      </c>
      <c r="E16" s="115">
        <f t="shared" si="0"/>
        <v>6000</v>
      </c>
    </row>
    <row r="17" spans="1:9">
      <c r="D17" s="115"/>
      <c r="E17" s="115"/>
    </row>
    <row r="18" spans="1:9" ht="26">
      <c r="D18" s="115"/>
      <c r="E18" s="115"/>
      <c r="H18" s="126" t="s">
        <v>820</v>
      </c>
      <c r="I18" s="127">
        <f>I6+E32</f>
        <v>408790</v>
      </c>
    </row>
    <row r="19" spans="1:9">
      <c r="A19" s="128" t="s">
        <v>821</v>
      </c>
      <c r="D19" s="115">
        <f>SUM(D3:D16)</f>
        <v>11550</v>
      </c>
      <c r="E19" s="115">
        <f>SUM(E3:E16)</f>
        <v>134200</v>
      </c>
    </row>
    <row r="20" spans="1:9">
      <c r="D20" s="115"/>
      <c r="E20" s="115"/>
    </row>
    <row r="21" spans="1:9">
      <c r="A21" s="79" t="s">
        <v>822</v>
      </c>
      <c r="B21">
        <v>22</v>
      </c>
      <c r="C21" t="s">
        <v>810</v>
      </c>
      <c r="D21" s="115">
        <f>250*22</f>
        <v>5500</v>
      </c>
      <c r="E21" s="115">
        <f>12*D21</f>
        <v>66000</v>
      </c>
    </row>
    <row r="22" spans="1:9">
      <c r="D22" s="115"/>
      <c r="E22" s="115"/>
    </row>
    <row r="23" spans="1:9">
      <c r="D23" s="115"/>
      <c r="E23" s="115"/>
    </row>
    <row r="24" spans="1:9" ht="18.5">
      <c r="A24" s="129" t="s">
        <v>823</v>
      </c>
      <c r="B24">
        <f>SUM(B3:B23)</f>
        <v>59</v>
      </c>
      <c r="D24" s="115">
        <f>SUM(D3:D16,D21)</f>
        <v>17050</v>
      </c>
      <c r="E24" s="115">
        <f>SUM(E3:E16)+E21</f>
        <v>200200</v>
      </c>
    </row>
    <row r="25" spans="1:9">
      <c r="D25" s="115"/>
      <c r="E25" s="115"/>
    </row>
    <row r="26" spans="1:9">
      <c r="A26" s="79" t="s">
        <v>824</v>
      </c>
      <c r="D26" s="115"/>
      <c r="E26" s="115">
        <v>7200</v>
      </c>
    </row>
    <row r="27" spans="1:9">
      <c r="A27" s="79" t="s">
        <v>825</v>
      </c>
      <c r="D27" s="115"/>
      <c r="E27" s="115"/>
    </row>
    <row r="28" spans="1:9">
      <c r="A28" t="s">
        <v>826</v>
      </c>
      <c r="B28">
        <v>2</v>
      </c>
      <c r="C28" t="s">
        <v>810</v>
      </c>
      <c r="D28" s="115">
        <v>500</v>
      </c>
      <c r="E28" s="115">
        <f>12*500</f>
        <v>6000</v>
      </c>
    </row>
    <row r="29" spans="1:9">
      <c r="A29" t="s">
        <v>827</v>
      </c>
      <c r="D29" s="115"/>
      <c r="E29" s="115">
        <v>1800</v>
      </c>
      <c r="H29">
        <f>250*4*12</f>
        <v>12000</v>
      </c>
    </row>
    <row r="30" spans="1:9">
      <c r="D30" s="115"/>
      <c r="E30" s="115"/>
      <c r="H30">
        <f>200*2*12</f>
        <v>4800</v>
      </c>
    </row>
    <row r="31" spans="1:9">
      <c r="A31" s="130" t="s">
        <v>828</v>
      </c>
      <c r="B31" s="130"/>
      <c r="C31" s="130"/>
      <c r="D31" s="131"/>
      <c r="E31" s="131">
        <v>3000</v>
      </c>
      <c r="H31">
        <f>200*12</f>
        <v>2400</v>
      </c>
    </row>
    <row r="32" spans="1:9" ht="18.5">
      <c r="A32" t="s">
        <v>829</v>
      </c>
      <c r="D32" s="115"/>
      <c r="E32" s="115">
        <f>SUM(A1,E3,E4,E5,E6,E7,E8,E9,E10,E11,E12,E13,E14,E15,E16,E21,E26,E28,E29,E31)</f>
        <v>218200</v>
      </c>
      <c r="H32">
        <f>SUM(H29:H31)</f>
        <v>19200</v>
      </c>
    </row>
    <row r="34" spans="1:5">
      <c r="A34" t="s">
        <v>830</v>
      </c>
      <c r="E34" s="115">
        <f>E32-E35</f>
        <v>199000</v>
      </c>
    </row>
    <row r="35" spans="1:5">
      <c r="A35" t="s">
        <v>831</v>
      </c>
      <c r="E35" s="123">
        <v>19200</v>
      </c>
    </row>
  </sheetData>
  <pageMargins left="0.7" right="0.7" top="0.78740157500000008" bottom="0.78740157500000008" header="0.3" footer="0.3"/>
  <pageSetup paperSize="9" orientation="portrait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Haushalt 2024</vt:lpstr>
      <vt:lpstr>Semesterticket 2023</vt:lpstr>
      <vt:lpstr>Vermögensübersicht</vt:lpstr>
      <vt:lpstr>Personalplanung</vt:lpstr>
    </vt:vector>
  </TitlesOfParts>
  <Company>AStA der HHU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Windows-Benutzer</dc:creator>
  <cp:lastModifiedBy>Lukas Moll</cp:lastModifiedBy>
  <cp:revision>23</cp:revision>
  <dcterms:created xsi:type="dcterms:W3CDTF">2016-08-23T09:02:44Z</dcterms:created>
  <dcterms:modified xsi:type="dcterms:W3CDTF">2023-11-14T17:06:12Z</dcterms:modified>
</cp:coreProperties>
</file>