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tern Sekretariat Finanz Buchhaltung\Finanz\Haushalte\HH 2022\"/>
    </mc:Choice>
  </mc:AlternateContent>
  <bookViews>
    <workbookView xWindow="0" yWindow="0" windowWidth="28800" windowHeight="12300"/>
  </bookViews>
  <sheets>
    <sheet name="Haushalt 2022" sheetId="15" r:id="rId1"/>
    <sheet name="Semesterticket 2022" sheetId="16" r:id="rId2"/>
    <sheet name="Vermögensübersicht ab Rumpf 19" sheetId="20" r:id="rId3"/>
    <sheet name="Vermögensübersicht" sheetId="17" r:id="rId4"/>
    <sheet name="Abrechnung Rumpf 19" sheetId="19" r:id="rId5"/>
    <sheet name="Semtick Rumpf 19" sheetId="21" r:id="rId6"/>
    <sheet name="Abrechnung 1819" sheetId="14" r:id="rId7"/>
    <sheet name="Semesterticket 1819" sheetId="13" r:id="rId8"/>
  </sheets>
  <calcPr calcId="162913"/>
</workbook>
</file>

<file path=xl/calcChain.xml><?xml version="1.0" encoding="utf-8"?>
<calcChain xmlns="http://schemas.openxmlformats.org/spreadsheetml/2006/main">
  <c r="F309" i="15" l="1"/>
  <c r="F165" i="15"/>
  <c r="F166" i="15"/>
  <c r="D26" i="20"/>
  <c r="D32" i="20" s="1"/>
  <c r="C32" i="20"/>
  <c r="D29" i="20"/>
  <c r="C29" i="20"/>
  <c r="F164" i="15" l="1"/>
  <c r="C26" i="20" l="1"/>
  <c r="D35" i="15"/>
  <c r="E283" i="15"/>
  <c r="E282" i="15"/>
  <c r="E281" i="15"/>
  <c r="E280" i="15"/>
  <c r="E279" i="15"/>
  <c r="E278" i="15"/>
  <c r="E277" i="15"/>
  <c r="E276" i="15"/>
  <c r="E275" i="15"/>
  <c r="E274" i="15"/>
  <c r="E273" i="15"/>
  <c r="E272" i="15"/>
  <c r="E271" i="15"/>
  <c r="E270" i="15"/>
  <c r="E269" i="15"/>
  <c r="E268" i="15"/>
  <c r="E267" i="15"/>
  <c r="E266" i="15"/>
  <c r="E265" i="15"/>
  <c r="E264" i="15"/>
  <c r="E263" i="15"/>
  <c r="E262" i="15"/>
  <c r="E261" i="15"/>
  <c r="E260" i="15"/>
  <c r="E259" i="15"/>
  <c r="E258" i="15"/>
  <c r="E257" i="15"/>
  <c r="E256" i="15"/>
  <c r="E255" i="15"/>
  <c r="E254" i="15"/>
  <c r="E253" i="15"/>
  <c r="E252" i="15"/>
  <c r="E251" i="15"/>
  <c r="E250" i="15"/>
  <c r="E249" i="15"/>
  <c r="E248" i="15"/>
  <c r="E247" i="15"/>
  <c r="E246" i="15"/>
  <c r="E245" i="15"/>
  <c r="E244" i="15"/>
  <c r="E243" i="15"/>
  <c r="E242" i="15"/>
  <c r="E241" i="15"/>
  <c r="E240" i="15"/>
  <c r="E239" i="15"/>
  <c r="E238" i="15"/>
  <c r="E237" i="15"/>
  <c r="E236" i="15"/>
  <c r="E235" i="15"/>
  <c r="E234" i="15"/>
  <c r="E233" i="15"/>
  <c r="E232" i="15"/>
  <c r="E231" i="15"/>
  <c r="E230" i="15"/>
  <c r="E229" i="15"/>
  <c r="E228" i="15"/>
  <c r="E227" i="15"/>
  <c r="E226" i="15"/>
  <c r="E225" i="15"/>
  <c r="E224" i="15"/>
  <c r="E223" i="15"/>
  <c r="E222" i="15"/>
  <c r="E221" i="15"/>
  <c r="E220" i="15"/>
  <c r="E219" i="15"/>
  <c r="E218" i="15"/>
  <c r="E217" i="15"/>
  <c r="E216" i="15"/>
  <c r="E215" i="15"/>
  <c r="E214" i="15"/>
  <c r="D11" i="20" l="1"/>
  <c r="D6" i="20"/>
  <c r="D4" i="20"/>
  <c r="D3" i="20"/>
  <c r="F39" i="16"/>
  <c r="D38" i="16"/>
  <c r="F25" i="16"/>
  <c r="D24" i="16"/>
  <c r="F85" i="15"/>
  <c r="D84" i="15"/>
  <c r="D42" i="15"/>
  <c r="F132" i="15"/>
  <c r="I309" i="15"/>
  <c r="I307" i="15" s="1"/>
  <c r="I306" i="15" s="1"/>
  <c r="I308" i="15"/>
  <c r="J307" i="15"/>
  <c r="H307" i="15"/>
  <c r="H306" i="15" s="1"/>
  <c r="J306" i="15"/>
  <c r="I305" i="15"/>
  <c r="I304" i="15"/>
  <c r="I303" i="15"/>
  <c r="J302" i="15"/>
  <c r="J301" i="15" s="1"/>
  <c r="I302" i="15"/>
  <c r="I301" i="15" s="1"/>
  <c r="H302" i="15"/>
  <c r="H301" i="15"/>
  <c r="I300" i="15"/>
  <c r="J299" i="15"/>
  <c r="I299" i="15"/>
  <c r="H299" i="15"/>
  <c r="I298" i="15"/>
  <c r="I297" i="15"/>
  <c r="I296" i="15"/>
  <c r="I295" i="15"/>
  <c r="I294" i="15"/>
  <c r="I293" i="15"/>
  <c r="I292" i="15"/>
  <c r="I291" i="15"/>
  <c r="I290" i="15"/>
  <c r="I289" i="15"/>
  <c r="I288" i="15"/>
  <c r="I287" i="15"/>
  <c r="I286" i="15"/>
  <c r="I285" i="15"/>
  <c r="J284" i="15"/>
  <c r="I284" i="15"/>
  <c r="H284" i="15"/>
  <c r="J213" i="15"/>
  <c r="J212" i="15" s="1"/>
  <c r="I213" i="15"/>
  <c r="I212" i="15" s="1"/>
  <c r="H213" i="15"/>
  <c r="H212" i="15" s="1"/>
  <c r="I211" i="15"/>
  <c r="I210" i="15" s="1"/>
  <c r="J210" i="15"/>
  <c r="H210" i="15"/>
  <c r="I209" i="15"/>
  <c r="I208" i="15" s="1"/>
  <c r="J208" i="15"/>
  <c r="H208" i="15"/>
  <c r="I207" i="15"/>
  <c r="I206" i="15"/>
  <c r="I205" i="15"/>
  <c r="I204" i="15"/>
  <c r="I203" i="15"/>
  <c r="I202" i="15" s="1"/>
  <c r="J202" i="15"/>
  <c r="H202" i="15"/>
  <c r="I201" i="15"/>
  <c r="I199" i="15" s="1"/>
  <c r="I200" i="15"/>
  <c r="J199" i="15"/>
  <c r="H199" i="15"/>
  <c r="I198" i="15"/>
  <c r="I197" i="15"/>
  <c r="I196" i="15"/>
  <c r="I195" i="15"/>
  <c r="I193" i="15" s="1"/>
  <c r="I194" i="15"/>
  <c r="J193" i="15"/>
  <c r="H193" i="15"/>
  <c r="I192" i="15"/>
  <c r="I191" i="15"/>
  <c r="I190" i="15"/>
  <c r="I189" i="15"/>
  <c r="I188" i="15" s="1"/>
  <c r="J188" i="15"/>
  <c r="H188" i="15"/>
  <c r="I187" i="15"/>
  <c r="I186" i="15"/>
  <c r="I185" i="15"/>
  <c r="J184" i="15"/>
  <c r="I184" i="15"/>
  <c r="H184" i="15"/>
  <c r="I183" i="15"/>
  <c r="J182" i="15"/>
  <c r="I182" i="15"/>
  <c r="H182" i="15"/>
  <c r="I181" i="15"/>
  <c r="I180" i="15"/>
  <c r="I179" i="15"/>
  <c r="I176" i="15" s="1"/>
  <c r="I178" i="15"/>
  <c r="I177" i="15"/>
  <c r="J176" i="15"/>
  <c r="J175" i="15" s="1"/>
  <c r="H176" i="15"/>
  <c r="H175" i="15"/>
  <c r="I174" i="15"/>
  <c r="I173" i="15"/>
  <c r="I172" i="15"/>
  <c r="I171" i="15"/>
  <c r="I168" i="15" s="1"/>
  <c r="I170" i="15"/>
  <c r="I169" i="15"/>
  <c r="J168" i="15"/>
  <c r="H168" i="15"/>
  <c r="J166" i="15"/>
  <c r="I166" i="15"/>
  <c r="J165" i="15"/>
  <c r="I165" i="15" s="1"/>
  <c r="J164" i="15"/>
  <c r="I164" i="15"/>
  <c r="H163" i="15"/>
  <c r="H162" i="15" s="1"/>
  <c r="I161" i="15"/>
  <c r="I160" i="15"/>
  <c r="I159" i="15" s="1"/>
  <c r="J159" i="15"/>
  <c r="H159" i="15"/>
  <c r="I158" i="15"/>
  <c r="I157" i="15"/>
  <c r="I156" i="15" s="1"/>
  <c r="J156" i="15"/>
  <c r="H156" i="15"/>
  <c r="I155" i="15"/>
  <c r="I154" i="15"/>
  <c r="I153" i="15"/>
  <c r="I152" i="15"/>
  <c r="I151" i="15"/>
  <c r="I150" i="15"/>
  <c r="I149" i="15"/>
  <c r="J148" i="15"/>
  <c r="I148" i="15"/>
  <c r="H148" i="15"/>
  <c r="I147" i="15"/>
  <c r="I146" i="15"/>
  <c r="I145" i="15"/>
  <c r="I144" i="15"/>
  <c r="I143" i="15"/>
  <c r="I142" i="15"/>
  <c r="I141" i="15"/>
  <c r="I139" i="15" s="1"/>
  <c r="I140" i="15"/>
  <c r="J139" i="15"/>
  <c r="H139" i="15"/>
  <c r="I138" i="15"/>
  <c r="I137" i="15"/>
  <c r="I136" i="15"/>
  <c r="I135" i="15"/>
  <c r="I133" i="15" s="1"/>
  <c r="I134" i="15"/>
  <c r="J133" i="15"/>
  <c r="H133" i="15"/>
  <c r="J132" i="15"/>
  <c r="I132" i="15"/>
  <c r="I131" i="15"/>
  <c r="I130" i="15"/>
  <c r="I129" i="15"/>
  <c r="I128" i="15"/>
  <c r="H127" i="15"/>
  <c r="I127" i="15" s="1"/>
  <c r="I126" i="15"/>
  <c r="H125" i="15"/>
  <c r="H124" i="15" s="1"/>
  <c r="J124" i="15"/>
  <c r="I123" i="15"/>
  <c r="I122" i="15"/>
  <c r="I121" i="15" s="1"/>
  <c r="J121" i="15"/>
  <c r="H121" i="15"/>
  <c r="I120" i="15"/>
  <c r="I118" i="15" s="1"/>
  <c r="I119" i="15"/>
  <c r="J118" i="15"/>
  <c r="J117" i="15" s="1"/>
  <c r="H118" i="15"/>
  <c r="H117" i="15" s="1"/>
  <c r="I116" i="15"/>
  <c r="I115" i="15" s="1"/>
  <c r="J115" i="15"/>
  <c r="H115" i="15"/>
  <c r="J113" i="15"/>
  <c r="I113" i="15" s="1"/>
  <c r="I111" i="15" s="1"/>
  <c r="I112" i="15"/>
  <c r="H111" i="15"/>
  <c r="H110" i="15"/>
  <c r="I109" i="15"/>
  <c r="I108" i="15"/>
  <c r="J107" i="15"/>
  <c r="I107" i="15"/>
  <c r="H106" i="15"/>
  <c r="I106" i="15" s="1"/>
  <c r="J105" i="15"/>
  <c r="I105" i="15"/>
  <c r="H104" i="15"/>
  <c r="I104" i="15" s="1"/>
  <c r="I103" i="15"/>
  <c r="I102" i="15"/>
  <c r="I101" i="15"/>
  <c r="I100" i="15"/>
  <c r="J99" i="15"/>
  <c r="I98" i="15"/>
  <c r="I97" i="15"/>
  <c r="I96" i="15"/>
  <c r="H95" i="15"/>
  <c r="I95" i="15" s="1"/>
  <c r="J94" i="15"/>
  <c r="I94" i="15"/>
  <c r="H93" i="15"/>
  <c r="I93" i="15" s="1"/>
  <c r="I92" i="15"/>
  <c r="I91" i="15"/>
  <c r="I90" i="15"/>
  <c r="J89" i="15"/>
  <c r="I89" i="15"/>
  <c r="I88" i="15" s="1"/>
  <c r="J88" i="15"/>
  <c r="H88" i="15"/>
  <c r="I87" i="15"/>
  <c r="I86" i="15"/>
  <c r="J85" i="15"/>
  <c r="I85" i="15"/>
  <c r="H84" i="15"/>
  <c r="I84" i="15" s="1"/>
  <c r="J83" i="15"/>
  <c r="I83" i="15"/>
  <c r="H82" i="15"/>
  <c r="J79" i="15" s="1"/>
  <c r="I81" i="15"/>
  <c r="I80" i="15"/>
  <c r="H78" i="15"/>
  <c r="I78" i="15" s="1"/>
  <c r="I76" i="15"/>
  <c r="I75" i="15"/>
  <c r="I74" i="15"/>
  <c r="I73" i="15"/>
  <c r="I72" i="15"/>
  <c r="I71" i="15"/>
  <c r="I70" i="15"/>
  <c r="I69" i="15"/>
  <c r="I68" i="15"/>
  <c r="J67" i="15"/>
  <c r="I67" i="15"/>
  <c r="H67" i="15"/>
  <c r="I66" i="15"/>
  <c r="I65" i="15"/>
  <c r="J64" i="15"/>
  <c r="I64" i="15" s="1"/>
  <c r="H63" i="15"/>
  <c r="I63" i="15" s="1"/>
  <c r="J62" i="15"/>
  <c r="I62" i="15" s="1"/>
  <c r="H61" i="15"/>
  <c r="H56" i="15" s="1"/>
  <c r="I60" i="15"/>
  <c r="I59" i="15"/>
  <c r="I58" i="15"/>
  <c r="I57" i="15"/>
  <c r="J56" i="15"/>
  <c r="I55" i="15"/>
  <c r="I54" i="15"/>
  <c r="J53" i="15"/>
  <c r="I53" i="15"/>
  <c r="H52" i="15"/>
  <c r="I52" i="15" s="1"/>
  <c r="J51" i="15"/>
  <c r="I51" i="15"/>
  <c r="H50" i="15"/>
  <c r="I50" i="15" s="1"/>
  <c r="I49" i="15"/>
  <c r="I48" i="15"/>
  <c r="I47" i="15"/>
  <c r="I46" i="15"/>
  <c r="J45" i="15"/>
  <c r="I44" i="15"/>
  <c r="I43" i="15"/>
  <c r="I41" i="15"/>
  <c r="H41" i="15"/>
  <c r="I40" i="15"/>
  <c r="H39" i="15"/>
  <c r="H42" i="15" s="1"/>
  <c r="I42" i="15" s="1"/>
  <c r="J38" i="15"/>
  <c r="I36" i="15"/>
  <c r="I35" i="15"/>
  <c r="I34" i="15" s="1"/>
  <c r="H35" i="15"/>
  <c r="J34" i="15"/>
  <c r="H34" i="15"/>
  <c r="I33" i="15"/>
  <c r="I32" i="15"/>
  <c r="J31" i="15"/>
  <c r="I31" i="15"/>
  <c r="H31" i="15"/>
  <c r="I30" i="15"/>
  <c r="I29" i="15"/>
  <c r="I28" i="15"/>
  <c r="I27" i="15"/>
  <c r="I26" i="15"/>
  <c r="I25" i="15"/>
  <c r="I24" i="15"/>
  <c r="I23" i="15" s="1"/>
  <c r="J23" i="15"/>
  <c r="H23" i="15"/>
  <c r="I22" i="15"/>
  <c r="I21" i="15"/>
  <c r="I20" i="15"/>
  <c r="I19" i="15"/>
  <c r="I18" i="15"/>
  <c r="I16" i="15" s="1"/>
  <c r="I17" i="15"/>
  <c r="J16" i="15"/>
  <c r="H16" i="15"/>
  <c r="I15" i="15"/>
  <c r="I14" i="15"/>
  <c r="I13" i="15"/>
  <c r="I12" i="15" s="1"/>
  <c r="J12" i="15"/>
  <c r="H12" i="15"/>
  <c r="I11" i="15"/>
  <c r="I10" i="15"/>
  <c r="I8" i="15" s="1"/>
  <c r="I9" i="15"/>
  <c r="J8" i="15"/>
  <c r="J7" i="15" s="1"/>
  <c r="H8" i="15"/>
  <c r="H7" i="15" s="1"/>
  <c r="I45" i="15" l="1"/>
  <c r="I110" i="15"/>
  <c r="I175" i="15"/>
  <c r="I56" i="15"/>
  <c r="I99" i="15"/>
  <c r="I7" i="15"/>
  <c r="J77" i="15"/>
  <c r="J37" i="15" s="1"/>
  <c r="I79" i="15"/>
  <c r="I77" i="15" s="1"/>
  <c r="I163" i="15"/>
  <c r="I162" i="15" s="1"/>
  <c r="I39" i="15"/>
  <c r="I38" i="15" s="1"/>
  <c r="I82" i="15"/>
  <c r="J163" i="15"/>
  <c r="J162" i="15" s="1"/>
  <c r="J311" i="15" s="1"/>
  <c r="H38" i="15"/>
  <c r="H45" i="15"/>
  <c r="J111" i="15"/>
  <c r="J110" i="15" s="1"/>
  <c r="I61" i="15"/>
  <c r="I125" i="15"/>
  <c r="I124" i="15" s="1"/>
  <c r="I117" i="15" s="1"/>
  <c r="H77" i="15"/>
  <c r="H99" i="15"/>
  <c r="H37" i="15" s="1"/>
  <c r="H311" i="15" s="1"/>
  <c r="I37" i="15" l="1"/>
  <c r="I311" i="15" s="1"/>
  <c r="D39" i="15"/>
  <c r="F113" i="15"/>
  <c r="F83" i="15" l="1"/>
  <c r="D82" i="15"/>
  <c r="D36" i="16" l="1"/>
  <c r="F37" i="16" s="1"/>
  <c r="D22" i="16"/>
  <c r="F23" i="16" s="1"/>
  <c r="D14" i="16"/>
  <c r="F19" i="16" s="1"/>
  <c r="F213" i="15" l="1"/>
  <c r="E213" i="15"/>
  <c r="D127" i="15" l="1"/>
  <c r="D125" i="15"/>
  <c r="D78" i="15"/>
  <c r="D41" i="15" l="1"/>
  <c r="D38" i="15" s="1"/>
  <c r="C7" i="20" l="1"/>
  <c r="C6" i="20"/>
  <c r="C4" i="20"/>
  <c r="C11" i="20" s="1"/>
  <c r="C21" i="20" s="1"/>
  <c r="C3" i="20"/>
  <c r="E155" i="15" l="1"/>
  <c r="E154" i="15"/>
  <c r="F148" i="15"/>
  <c r="D148" i="15"/>
  <c r="F79" i="15" l="1"/>
  <c r="L25" i="13" l="1"/>
  <c r="H25" i="13"/>
  <c r="D25" i="13"/>
  <c r="L24" i="13"/>
  <c r="H24" i="13"/>
  <c r="H23" i="13" s="1"/>
  <c r="D24" i="13"/>
  <c r="M23" i="13"/>
  <c r="K23" i="13"/>
  <c r="I23" i="13"/>
  <c r="G23" i="13"/>
  <c r="E23" i="13"/>
  <c r="C23" i="13"/>
  <c r="L22" i="13"/>
  <c r="H22" i="13"/>
  <c r="D22" i="13"/>
  <c r="L21" i="13"/>
  <c r="H21" i="13"/>
  <c r="D21" i="13"/>
  <c r="L20" i="13"/>
  <c r="H20" i="13"/>
  <c r="D20" i="13"/>
  <c r="K19" i="13"/>
  <c r="M19" i="13" s="1"/>
  <c r="L19" i="13" s="1"/>
  <c r="G19" i="13"/>
  <c r="I19" i="13" s="1"/>
  <c r="H19" i="13" s="1"/>
  <c r="D19" i="13"/>
  <c r="K18" i="13"/>
  <c r="G18" i="13"/>
  <c r="D18" i="13"/>
  <c r="E17" i="13"/>
  <c r="D17" i="13"/>
  <c r="C17" i="13"/>
  <c r="L16" i="13"/>
  <c r="H16" i="13"/>
  <c r="D16" i="13"/>
  <c r="K15" i="13"/>
  <c r="M15" i="13" s="1"/>
  <c r="L15" i="13" s="1"/>
  <c r="G15" i="13"/>
  <c r="I15" i="13" s="1"/>
  <c r="H15" i="13" s="1"/>
  <c r="D15" i="13"/>
  <c r="K14" i="13"/>
  <c r="G14" i="13"/>
  <c r="I14" i="13" s="1"/>
  <c r="D14" i="13"/>
  <c r="L13" i="13"/>
  <c r="H13" i="13"/>
  <c r="D13" i="13"/>
  <c r="L12" i="13"/>
  <c r="H12" i="13"/>
  <c r="D12" i="13"/>
  <c r="D11" i="13" s="1"/>
  <c r="E11" i="13"/>
  <c r="C11" i="13"/>
  <c r="L10" i="13"/>
  <c r="H10" i="13"/>
  <c r="D10" i="13"/>
  <c r="D9" i="13" s="1"/>
  <c r="M9" i="13"/>
  <c r="L9" i="13"/>
  <c r="K9" i="13"/>
  <c r="I9" i="13"/>
  <c r="H9" i="13"/>
  <c r="G9" i="13"/>
  <c r="E9" i="13"/>
  <c r="C9" i="13"/>
  <c r="L199" i="14"/>
  <c r="L198" i="14" s="1"/>
  <c r="L197" i="14" s="1"/>
  <c r="H199" i="14"/>
  <c r="H198" i="14" s="1"/>
  <c r="H197" i="14" s="1"/>
  <c r="D199" i="14"/>
  <c r="D198" i="14" s="1"/>
  <c r="D197" i="14" s="1"/>
  <c r="M198" i="14"/>
  <c r="M197" i="14" s="1"/>
  <c r="K198" i="14"/>
  <c r="K197" i="14" s="1"/>
  <c r="I198" i="14"/>
  <c r="I197" i="14" s="1"/>
  <c r="G198" i="14"/>
  <c r="G197" i="14" s="1"/>
  <c r="E198" i="14"/>
  <c r="E197" i="14" s="1"/>
  <c r="C198" i="14"/>
  <c r="C197" i="14" s="1"/>
  <c r="L196" i="14"/>
  <c r="H196" i="14"/>
  <c r="D196" i="14"/>
  <c r="L195" i="14"/>
  <c r="H195" i="14"/>
  <c r="D195" i="14"/>
  <c r="L194" i="14"/>
  <c r="H194" i="14"/>
  <c r="D194" i="14"/>
  <c r="M193" i="14"/>
  <c r="M192" i="14" s="1"/>
  <c r="K193" i="14"/>
  <c r="K192" i="14" s="1"/>
  <c r="I193" i="14"/>
  <c r="I192" i="14" s="1"/>
  <c r="G193" i="14"/>
  <c r="G192" i="14" s="1"/>
  <c r="E193" i="14"/>
  <c r="E192" i="14" s="1"/>
  <c r="C193" i="14"/>
  <c r="C192" i="14" s="1"/>
  <c r="L191" i="14"/>
  <c r="H191" i="14"/>
  <c r="D191" i="14"/>
  <c r="L190" i="14"/>
  <c r="L189" i="14" s="1"/>
  <c r="H190" i="14"/>
  <c r="D190" i="14"/>
  <c r="M189" i="14"/>
  <c r="K189" i="14"/>
  <c r="I189" i="14"/>
  <c r="G189" i="14"/>
  <c r="E189" i="14"/>
  <c r="C189" i="14"/>
  <c r="L188" i="14"/>
  <c r="H188" i="14"/>
  <c r="D188" i="14"/>
  <c r="L187" i="14"/>
  <c r="H187" i="14"/>
  <c r="D187" i="14"/>
  <c r="L186" i="14"/>
  <c r="H186" i="14"/>
  <c r="D186" i="14"/>
  <c r="L185" i="14"/>
  <c r="H185" i="14"/>
  <c r="D185" i="14"/>
  <c r="L184" i="14"/>
  <c r="H184" i="14"/>
  <c r="D184" i="14"/>
  <c r="L183" i="14"/>
  <c r="H183" i="14"/>
  <c r="D183" i="14"/>
  <c r="L182" i="14"/>
  <c r="H182" i="14"/>
  <c r="D182" i="14"/>
  <c r="M181" i="14"/>
  <c r="K181" i="14"/>
  <c r="I181" i="14"/>
  <c r="G181" i="14"/>
  <c r="E181" i="14"/>
  <c r="C181" i="14"/>
  <c r="M180" i="14"/>
  <c r="L180" i="14" s="1"/>
  <c r="H180" i="14"/>
  <c r="D180" i="14"/>
  <c r="M179" i="14"/>
  <c r="L179" i="14" s="1"/>
  <c r="H179" i="14"/>
  <c r="D179" i="14"/>
  <c r="M178" i="14"/>
  <c r="L178" i="14" s="1"/>
  <c r="H178" i="14"/>
  <c r="D178" i="14"/>
  <c r="M177" i="14"/>
  <c r="L177" i="14" s="1"/>
  <c r="H177" i="14"/>
  <c r="D177" i="14"/>
  <c r="M176" i="14"/>
  <c r="L176" i="14" s="1"/>
  <c r="H176" i="14"/>
  <c r="D176" i="14"/>
  <c r="M175" i="14"/>
  <c r="L175" i="14" s="1"/>
  <c r="H175" i="14"/>
  <c r="D175" i="14"/>
  <c r="M174" i="14"/>
  <c r="L174" i="14" s="1"/>
  <c r="H174" i="14"/>
  <c r="D174" i="14"/>
  <c r="M173" i="14"/>
  <c r="L173" i="14" s="1"/>
  <c r="H173" i="14"/>
  <c r="D173" i="14"/>
  <c r="M172" i="14"/>
  <c r="L172" i="14" s="1"/>
  <c r="H172" i="14"/>
  <c r="D172" i="14"/>
  <c r="M171" i="14"/>
  <c r="L171" i="14" s="1"/>
  <c r="H171" i="14"/>
  <c r="D171" i="14"/>
  <c r="M170" i="14"/>
  <c r="L170" i="14" s="1"/>
  <c r="H170" i="14"/>
  <c r="D170" i="14"/>
  <c r="M169" i="14"/>
  <c r="L169" i="14" s="1"/>
  <c r="H169" i="14"/>
  <c r="D169" i="14"/>
  <c r="M168" i="14"/>
  <c r="L168" i="14" s="1"/>
  <c r="H168" i="14"/>
  <c r="D168" i="14"/>
  <c r="M167" i="14"/>
  <c r="L167" i="14"/>
  <c r="H167" i="14"/>
  <c r="D167" i="14"/>
  <c r="M166" i="14"/>
  <c r="L166" i="14"/>
  <c r="H166" i="14"/>
  <c r="D166" i="14"/>
  <c r="M165" i="14"/>
  <c r="L165" i="14" s="1"/>
  <c r="H165" i="14"/>
  <c r="D165" i="14"/>
  <c r="M164" i="14"/>
  <c r="L164" i="14" s="1"/>
  <c r="H164" i="14"/>
  <c r="D164" i="14"/>
  <c r="M163" i="14"/>
  <c r="L163" i="14" s="1"/>
  <c r="H163" i="14"/>
  <c r="D163" i="14"/>
  <c r="M162" i="14"/>
  <c r="L162" i="14" s="1"/>
  <c r="H162" i="14"/>
  <c r="D162" i="14"/>
  <c r="M161" i="14"/>
  <c r="L161" i="14"/>
  <c r="H161" i="14"/>
  <c r="D161" i="14"/>
  <c r="M160" i="14"/>
  <c r="L160" i="14"/>
  <c r="H160" i="14"/>
  <c r="D160" i="14"/>
  <c r="M159" i="14"/>
  <c r="L159" i="14" s="1"/>
  <c r="H159" i="14"/>
  <c r="D159" i="14"/>
  <c r="M158" i="14"/>
  <c r="L158" i="14" s="1"/>
  <c r="H158" i="14"/>
  <c r="D158" i="14"/>
  <c r="M157" i="14"/>
  <c r="L157" i="14"/>
  <c r="H157" i="14"/>
  <c r="D157" i="14"/>
  <c r="M156" i="14"/>
  <c r="L156" i="14" s="1"/>
  <c r="H156" i="14"/>
  <c r="D156" i="14"/>
  <c r="M155" i="14"/>
  <c r="L155" i="14"/>
  <c r="H155" i="14"/>
  <c r="D155" i="14"/>
  <c r="M154" i="14"/>
  <c r="L154" i="14"/>
  <c r="H154" i="14"/>
  <c r="D154" i="14"/>
  <c r="M153" i="14"/>
  <c r="L153" i="14" s="1"/>
  <c r="H153" i="14"/>
  <c r="D153" i="14"/>
  <c r="M152" i="14"/>
  <c r="L152" i="14"/>
  <c r="H152" i="14"/>
  <c r="D152" i="14"/>
  <c r="M151" i="14"/>
  <c r="L151" i="14" s="1"/>
  <c r="H151" i="14"/>
  <c r="D151" i="14"/>
  <c r="M150" i="14"/>
  <c r="L150" i="14" s="1"/>
  <c r="H150" i="14"/>
  <c r="D150" i="14"/>
  <c r="M149" i="14"/>
  <c r="L149" i="14"/>
  <c r="H149" i="14"/>
  <c r="D149" i="14"/>
  <c r="K148" i="14"/>
  <c r="I148" i="14"/>
  <c r="G148" i="14"/>
  <c r="E148" i="14"/>
  <c r="C148" i="14"/>
  <c r="C147" i="14" s="1"/>
  <c r="L146" i="14"/>
  <c r="H146" i="14"/>
  <c r="D146" i="14"/>
  <c r="L145" i="14"/>
  <c r="H145" i="14"/>
  <c r="D145" i="14"/>
  <c r="M144" i="14"/>
  <c r="K144" i="14"/>
  <c r="I144" i="14"/>
  <c r="G144" i="14"/>
  <c r="E144" i="14"/>
  <c r="C144" i="14"/>
  <c r="L143" i="14"/>
  <c r="H143" i="14"/>
  <c r="D143" i="14"/>
  <c r="L142" i="14"/>
  <c r="H142" i="14"/>
  <c r="H141" i="14" s="1"/>
  <c r="D142" i="14"/>
  <c r="M141" i="14"/>
  <c r="K141" i="14"/>
  <c r="I141" i="14"/>
  <c r="G141" i="14"/>
  <c r="E141" i="14"/>
  <c r="D141" i="14"/>
  <c r="C141" i="14"/>
  <c r="L140" i="14"/>
  <c r="H140" i="14"/>
  <c r="D140" i="14"/>
  <c r="L139" i="14"/>
  <c r="H139" i="14"/>
  <c r="D139" i="14"/>
  <c r="L138" i="14"/>
  <c r="H138" i="14"/>
  <c r="D138" i="14"/>
  <c r="L137" i="14"/>
  <c r="H137" i="14"/>
  <c r="D137" i="14"/>
  <c r="L136" i="14"/>
  <c r="H136" i="14"/>
  <c r="D136" i="14"/>
  <c r="M135" i="14"/>
  <c r="K135" i="14"/>
  <c r="I135" i="14"/>
  <c r="G135" i="14"/>
  <c r="E135" i="14"/>
  <c r="C135" i="14"/>
  <c r="L134" i="14"/>
  <c r="H134" i="14"/>
  <c r="D134" i="14"/>
  <c r="L133" i="14"/>
  <c r="H133" i="14"/>
  <c r="D133" i="14"/>
  <c r="M132" i="14"/>
  <c r="K132" i="14"/>
  <c r="I132" i="14"/>
  <c r="G132" i="14"/>
  <c r="E132" i="14"/>
  <c r="C132" i="14"/>
  <c r="L131" i="14"/>
  <c r="H131" i="14"/>
  <c r="H129" i="14" s="1"/>
  <c r="D131" i="14"/>
  <c r="L130" i="14"/>
  <c r="H130" i="14"/>
  <c r="D130" i="14"/>
  <c r="M129" i="14"/>
  <c r="K129" i="14"/>
  <c r="I129" i="14"/>
  <c r="G129" i="14"/>
  <c r="E129" i="14"/>
  <c r="C129" i="14"/>
  <c r="L128" i="14"/>
  <c r="H128" i="14"/>
  <c r="D128" i="14"/>
  <c r="L127" i="14"/>
  <c r="H127" i="14"/>
  <c r="D127" i="14"/>
  <c r="L126" i="14"/>
  <c r="H126" i="14"/>
  <c r="D126" i="14"/>
  <c r="L125" i="14"/>
  <c r="H125" i="14"/>
  <c r="D125" i="14"/>
  <c r="M124" i="14"/>
  <c r="K124" i="14"/>
  <c r="I124" i="14"/>
  <c r="G124" i="14"/>
  <c r="E124" i="14"/>
  <c r="C124" i="14"/>
  <c r="M123" i="14"/>
  <c r="M120" i="14" s="1"/>
  <c r="I123" i="14"/>
  <c r="H123" i="14" s="1"/>
  <c r="D123" i="14"/>
  <c r="L122" i="14"/>
  <c r="H122" i="14"/>
  <c r="D122" i="14"/>
  <c r="L121" i="14"/>
  <c r="H121" i="14"/>
  <c r="D121" i="14"/>
  <c r="K120" i="14"/>
  <c r="G120" i="14"/>
  <c r="E120" i="14"/>
  <c r="C120" i="14"/>
  <c r="L119" i="14"/>
  <c r="L118" i="14" s="1"/>
  <c r="H119" i="14"/>
  <c r="H118" i="14" s="1"/>
  <c r="D119" i="14"/>
  <c r="M118" i="14"/>
  <c r="K118" i="14"/>
  <c r="I118" i="14"/>
  <c r="G118" i="14"/>
  <c r="E118" i="14"/>
  <c r="D118" i="14"/>
  <c r="C118" i="14"/>
  <c r="L117" i="14"/>
  <c r="H117" i="14"/>
  <c r="D117" i="14"/>
  <c r="L116" i="14"/>
  <c r="H116" i="14"/>
  <c r="D116" i="14"/>
  <c r="L115" i="14"/>
  <c r="H115" i="14"/>
  <c r="H114" i="14" s="1"/>
  <c r="D115" i="14"/>
  <c r="M114" i="14"/>
  <c r="K114" i="14"/>
  <c r="I114" i="14"/>
  <c r="G114" i="14"/>
  <c r="E114" i="14"/>
  <c r="C114" i="14"/>
  <c r="L112" i="14"/>
  <c r="H112" i="14"/>
  <c r="D112" i="14"/>
  <c r="D110" i="14" s="1"/>
  <c r="L111" i="14"/>
  <c r="L110" i="14" s="1"/>
  <c r="H111" i="14"/>
  <c r="D111" i="14"/>
  <c r="M110" i="14"/>
  <c r="K110" i="14"/>
  <c r="I110" i="14"/>
  <c r="G110" i="14"/>
  <c r="E110" i="14"/>
  <c r="C110" i="14"/>
  <c r="L109" i="14"/>
  <c r="H109" i="14"/>
  <c r="D109" i="14"/>
  <c r="M108" i="14"/>
  <c r="L108" i="14"/>
  <c r="I108" i="14"/>
  <c r="H108" i="14" s="1"/>
  <c r="D108" i="14"/>
  <c r="M107" i="14"/>
  <c r="L107" i="14" s="1"/>
  <c r="I107" i="14"/>
  <c r="H107" i="14" s="1"/>
  <c r="D107" i="14"/>
  <c r="M106" i="14"/>
  <c r="I106" i="14"/>
  <c r="H106" i="14"/>
  <c r="D106" i="14"/>
  <c r="M105" i="14"/>
  <c r="L105" i="14"/>
  <c r="I105" i="14"/>
  <c r="D105" i="14"/>
  <c r="M104" i="14"/>
  <c r="L104" i="14" s="1"/>
  <c r="I104" i="14"/>
  <c r="H104" i="14" s="1"/>
  <c r="D104" i="14"/>
  <c r="K103" i="14"/>
  <c r="K102" i="14" s="1"/>
  <c r="G103" i="14"/>
  <c r="E103" i="14"/>
  <c r="C103" i="14"/>
  <c r="C102" i="14" s="1"/>
  <c r="L101" i="14"/>
  <c r="L100" i="14" s="1"/>
  <c r="H101" i="14"/>
  <c r="H100" i="14" s="1"/>
  <c r="D101" i="14"/>
  <c r="D100" i="14" s="1"/>
  <c r="M100" i="14"/>
  <c r="K100" i="14"/>
  <c r="I100" i="14"/>
  <c r="G100" i="14"/>
  <c r="E100" i="14"/>
  <c r="C100" i="14"/>
  <c r="L99" i="14"/>
  <c r="H99" i="14"/>
  <c r="D99" i="14"/>
  <c r="L98" i="14"/>
  <c r="H98" i="14"/>
  <c r="D98" i="14"/>
  <c r="L97" i="14"/>
  <c r="H97" i="14"/>
  <c r="D97" i="14"/>
  <c r="L96" i="14"/>
  <c r="H96" i="14"/>
  <c r="D96" i="14"/>
  <c r="L95" i="14"/>
  <c r="H95" i="14"/>
  <c r="D95" i="14"/>
  <c r="L94" i="14"/>
  <c r="L93" i="14" s="1"/>
  <c r="H94" i="14"/>
  <c r="H93" i="14" s="1"/>
  <c r="D94" i="14"/>
  <c r="M93" i="14"/>
  <c r="K93" i="14"/>
  <c r="I93" i="14"/>
  <c r="G93" i="14"/>
  <c r="E93" i="14"/>
  <c r="C93" i="14"/>
  <c r="L92" i="14"/>
  <c r="H92" i="14"/>
  <c r="D92" i="14"/>
  <c r="L91" i="14"/>
  <c r="H91" i="14"/>
  <c r="D91" i="14"/>
  <c r="L90" i="14"/>
  <c r="H90" i="14"/>
  <c r="D90" i="14"/>
  <c r="M89" i="14"/>
  <c r="L89" i="14" s="1"/>
  <c r="I89" i="14"/>
  <c r="H89" i="14" s="1"/>
  <c r="D89" i="14"/>
  <c r="L88" i="14"/>
  <c r="H88" i="14"/>
  <c r="D88" i="14"/>
  <c r="K87" i="14"/>
  <c r="G87" i="14"/>
  <c r="E87" i="14"/>
  <c r="C87" i="14"/>
  <c r="L86" i="14"/>
  <c r="H86" i="14"/>
  <c r="D86" i="14"/>
  <c r="L85" i="14"/>
  <c r="H85" i="14"/>
  <c r="D85" i="14"/>
  <c r="L84" i="14"/>
  <c r="H84" i="14"/>
  <c r="D84" i="14"/>
  <c r="M83" i="14"/>
  <c r="M80" i="14" s="1"/>
  <c r="H83" i="14"/>
  <c r="D83" i="14"/>
  <c r="L82" i="14"/>
  <c r="H82" i="14"/>
  <c r="D82" i="14"/>
  <c r="L81" i="14"/>
  <c r="H81" i="14"/>
  <c r="D81" i="14"/>
  <c r="K80" i="14"/>
  <c r="I80" i="14"/>
  <c r="G80" i="14"/>
  <c r="E80" i="14"/>
  <c r="C80" i="14"/>
  <c r="M79" i="14"/>
  <c r="M75" i="14" s="1"/>
  <c r="I79" i="14"/>
  <c r="H79" i="14" s="1"/>
  <c r="D79" i="14"/>
  <c r="L78" i="14"/>
  <c r="H78" i="14"/>
  <c r="D78" i="14"/>
  <c r="L77" i="14"/>
  <c r="H77" i="14"/>
  <c r="D77" i="14"/>
  <c r="K76" i="14"/>
  <c r="L76" i="14" s="1"/>
  <c r="G76" i="14"/>
  <c r="H76" i="14" s="1"/>
  <c r="D76" i="14"/>
  <c r="E75" i="14"/>
  <c r="C75" i="14"/>
  <c r="L74" i="14"/>
  <c r="L73" i="14" s="1"/>
  <c r="H74" i="14"/>
  <c r="H73" i="14" s="1"/>
  <c r="D74" i="14"/>
  <c r="M73" i="14"/>
  <c r="K73" i="14"/>
  <c r="I73" i="14"/>
  <c r="G73" i="14"/>
  <c r="E73" i="14"/>
  <c r="D73" i="14"/>
  <c r="C73" i="14"/>
  <c r="L72" i="14"/>
  <c r="L71" i="14" s="1"/>
  <c r="H72" i="14"/>
  <c r="H71" i="14" s="1"/>
  <c r="D72" i="14"/>
  <c r="D71" i="14" s="1"/>
  <c r="M71" i="14"/>
  <c r="K71" i="14"/>
  <c r="I71" i="14"/>
  <c r="G71" i="14"/>
  <c r="E71" i="14"/>
  <c r="C71" i="14"/>
  <c r="C70" i="14" s="1"/>
  <c r="D69" i="14"/>
  <c r="D68" i="14" s="1"/>
  <c r="K68" i="14"/>
  <c r="G68" i="14"/>
  <c r="E68" i="14"/>
  <c r="C68" i="14"/>
  <c r="L67" i="14"/>
  <c r="L65" i="14" s="1"/>
  <c r="H67" i="14"/>
  <c r="D67" i="14"/>
  <c r="L66" i="14"/>
  <c r="H66" i="14"/>
  <c r="D66" i="14"/>
  <c r="M65" i="14"/>
  <c r="K65" i="14"/>
  <c r="I65" i="14"/>
  <c r="G65" i="14"/>
  <c r="E65" i="14"/>
  <c r="C65" i="14"/>
  <c r="M64" i="14"/>
  <c r="I64" i="14"/>
  <c r="I63" i="14" s="1"/>
  <c r="D64" i="14"/>
  <c r="D63" i="14" s="1"/>
  <c r="K63" i="14"/>
  <c r="G63" i="14"/>
  <c r="E63" i="14"/>
  <c r="C63" i="14"/>
  <c r="C62" i="14" s="1"/>
  <c r="L61" i="14"/>
  <c r="H61" i="14"/>
  <c r="D61" i="14"/>
  <c r="K60" i="14"/>
  <c r="L60" i="14" s="1"/>
  <c r="G60" i="14"/>
  <c r="H60" i="14" s="1"/>
  <c r="D60" i="14"/>
  <c r="K59" i="14"/>
  <c r="M59" i="14" s="1"/>
  <c r="G59" i="14"/>
  <c r="I59" i="14" s="1"/>
  <c r="D59" i="14"/>
  <c r="L58" i="14"/>
  <c r="D58" i="14"/>
  <c r="E57" i="14"/>
  <c r="C57" i="14"/>
  <c r="L56" i="14"/>
  <c r="H56" i="14"/>
  <c r="D56" i="14"/>
  <c r="K55" i="14"/>
  <c r="L55" i="14" s="1"/>
  <c r="G55" i="14"/>
  <c r="H55" i="14" s="1"/>
  <c r="D55" i="14"/>
  <c r="K54" i="14"/>
  <c r="G54" i="14"/>
  <c r="D54" i="14"/>
  <c r="L53" i="14"/>
  <c r="H53" i="14"/>
  <c r="D53" i="14"/>
  <c r="M52" i="14"/>
  <c r="I52" i="14"/>
  <c r="E52" i="14"/>
  <c r="C52" i="14"/>
  <c r="L51" i="14"/>
  <c r="H51" i="14"/>
  <c r="D51" i="14"/>
  <c r="L50" i="14"/>
  <c r="H50" i="14"/>
  <c r="D50" i="14"/>
  <c r="L49" i="14"/>
  <c r="H49" i="14"/>
  <c r="D49" i="14"/>
  <c r="L48" i="14"/>
  <c r="H48" i="14"/>
  <c r="D48" i="14"/>
  <c r="M47" i="14"/>
  <c r="K47" i="14"/>
  <c r="I47" i="14"/>
  <c r="G47" i="14"/>
  <c r="E47" i="14"/>
  <c r="C47" i="14"/>
  <c r="L46" i="14"/>
  <c r="H46" i="14"/>
  <c r="D46" i="14"/>
  <c r="M45" i="14"/>
  <c r="K45" i="14"/>
  <c r="K42" i="14" s="1"/>
  <c r="I45" i="14"/>
  <c r="G45" i="14"/>
  <c r="D45" i="14"/>
  <c r="M44" i="14"/>
  <c r="K44" i="14"/>
  <c r="I44" i="14"/>
  <c r="G44" i="14"/>
  <c r="D44" i="14"/>
  <c r="L43" i="14"/>
  <c r="H43" i="14"/>
  <c r="D43" i="14"/>
  <c r="E42" i="14"/>
  <c r="C42" i="14"/>
  <c r="L41" i="14"/>
  <c r="H41" i="14"/>
  <c r="D41" i="14"/>
  <c r="M40" i="14"/>
  <c r="K40" i="14"/>
  <c r="I40" i="14"/>
  <c r="G40" i="14"/>
  <c r="D40" i="14"/>
  <c r="M39" i="14"/>
  <c r="L39" i="14" s="1"/>
  <c r="K39" i="14"/>
  <c r="I39" i="14"/>
  <c r="G39" i="14"/>
  <c r="D39" i="14"/>
  <c r="L38" i="14"/>
  <c r="H38" i="14"/>
  <c r="D38" i="14"/>
  <c r="E37" i="14"/>
  <c r="C37" i="14"/>
  <c r="L36" i="14"/>
  <c r="H36" i="14"/>
  <c r="D36" i="14"/>
  <c r="K35" i="14"/>
  <c r="G35" i="14"/>
  <c r="H35" i="14" s="1"/>
  <c r="D35" i="14"/>
  <c r="K34" i="14"/>
  <c r="L34" i="14" s="1"/>
  <c r="G34" i="14"/>
  <c r="D34" i="14"/>
  <c r="L33" i="14"/>
  <c r="H33" i="14"/>
  <c r="D33" i="14"/>
  <c r="D32" i="14" s="1"/>
  <c r="M32" i="14"/>
  <c r="I32" i="14"/>
  <c r="E32" i="14"/>
  <c r="C32" i="14"/>
  <c r="L30" i="14"/>
  <c r="H30" i="14"/>
  <c r="D30" i="14"/>
  <c r="K29" i="14"/>
  <c r="L29" i="14" s="1"/>
  <c r="G29" i="14"/>
  <c r="H29" i="14" s="1"/>
  <c r="D29" i="14"/>
  <c r="M28" i="14"/>
  <c r="I28" i="14"/>
  <c r="E28" i="14"/>
  <c r="C28" i="14"/>
  <c r="L27" i="14"/>
  <c r="H27" i="14"/>
  <c r="D27" i="14"/>
  <c r="L26" i="14"/>
  <c r="H26" i="14"/>
  <c r="D26" i="14"/>
  <c r="M25" i="14"/>
  <c r="K25" i="14"/>
  <c r="I25" i="14"/>
  <c r="G25" i="14"/>
  <c r="E25" i="14"/>
  <c r="C25" i="14"/>
  <c r="L24" i="14"/>
  <c r="H24" i="14"/>
  <c r="D24" i="14"/>
  <c r="L23" i="14"/>
  <c r="H23" i="14"/>
  <c r="D23" i="14"/>
  <c r="L22" i="14"/>
  <c r="H22" i="14"/>
  <c r="D22" i="14"/>
  <c r="L21" i="14"/>
  <c r="H21" i="14"/>
  <c r="D21" i="14"/>
  <c r="L20" i="14"/>
  <c r="H20" i="14"/>
  <c r="D20" i="14"/>
  <c r="L19" i="14"/>
  <c r="H19" i="14"/>
  <c r="D19" i="14"/>
  <c r="M18" i="14"/>
  <c r="K18" i="14"/>
  <c r="I18" i="14"/>
  <c r="G18" i="14"/>
  <c r="E18" i="14"/>
  <c r="C18" i="14"/>
  <c r="L17" i="14"/>
  <c r="H17" i="14"/>
  <c r="D17" i="14"/>
  <c r="L16" i="14"/>
  <c r="H16" i="14"/>
  <c r="D16" i="14"/>
  <c r="L15" i="14"/>
  <c r="H15" i="14"/>
  <c r="D15" i="14"/>
  <c r="L14" i="14"/>
  <c r="H14" i="14"/>
  <c r="D14" i="14"/>
  <c r="M13" i="14"/>
  <c r="K13" i="14"/>
  <c r="I13" i="14"/>
  <c r="G13" i="14"/>
  <c r="E13" i="14"/>
  <c r="C13" i="14"/>
  <c r="L12" i="14"/>
  <c r="H12" i="14"/>
  <c r="D12" i="14"/>
  <c r="D10" i="14" s="1"/>
  <c r="L11" i="14"/>
  <c r="H11" i="14"/>
  <c r="D11" i="14"/>
  <c r="M10" i="14"/>
  <c r="K10" i="14"/>
  <c r="I10" i="14"/>
  <c r="G10" i="14"/>
  <c r="E10" i="14"/>
  <c r="C10" i="14"/>
  <c r="L9" i="14"/>
  <c r="L8" i="14" s="1"/>
  <c r="H9" i="14"/>
  <c r="H8" i="14" s="1"/>
  <c r="D9" i="14"/>
  <c r="D8" i="14" s="1"/>
  <c r="M8" i="14"/>
  <c r="K8" i="14"/>
  <c r="I8" i="14"/>
  <c r="G8" i="14"/>
  <c r="E8" i="14"/>
  <c r="C8" i="14"/>
  <c r="H27" i="21"/>
  <c r="D27" i="21"/>
  <c r="H26" i="21"/>
  <c r="D26" i="21"/>
  <c r="I25" i="21"/>
  <c r="G25" i="21"/>
  <c r="E25" i="21"/>
  <c r="C25" i="21"/>
  <c r="H24" i="21"/>
  <c r="D24" i="21"/>
  <c r="H23" i="21"/>
  <c r="D23" i="21"/>
  <c r="H22" i="21"/>
  <c r="D22" i="21"/>
  <c r="H21" i="21"/>
  <c r="D21" i="21"/>
  <c r="H20" i="21"/>
  <c r="D20" i="21"/>
  <c r="I19" i="21"/>
  <c r="G19" i="21"/>
  <c r="E19" i="21"/>
  <c r="C19" i="21"/>
  <c r="H18" i="21"/>
  <c r="D18" i="21"/>
  <c r="D17" i="21"/>
  <c r="G16" i="21"/>
  <c r="H16" i="21" s="1"/>
  <c r="D16" i="21"/>
  <c r="D15" i="21"/>
  <c r="G14" i="21"/>
  <c r="I15" i="21" s="1"/>
  <c r="D14" i="21"/>
  <c r="H13" i="21"/>
  <c r="D13" i="21"/>
  <c r="H12" i="21"/>
  <c r="D12" i="21"/>
  <c r="E11" i="21"/>
  <c r="C11" i="21"/>
  <c r="H10" i="21"/>
  <c r="H9" i="21" s="1"/>
  <c r="D10" i="21"/>
  <c r="D9" i="21" s="1"/>
  <c r="I9" i="21"/>
  <c r="G9" i="21"/>
  <c r="E9" i="21"/>
  <c r="C9" i="21"/>
  <c r="C8" i="21" s="1"/>
  <c r="I202" i="19"/>
  <c r="D202" i="19"/>
  <c r="G201" i="19"/>
  <c r="E201" i="19"/>
  <c r="E200" i="19" s="1"/>
  <c r="D201" i="19"/>
  <c r="D200" i="19" s="1"/>
  <c r="C201" i="19"/>
  <c r="C200" i="19" s="1"/>
  <c r="G200" i="19"/>
  <c r="H199" i="19"/>
  <c r="D199" i="19"/>
  <c r="H198" i="19"/>
  <c r="D198" i="19"/>
  <c r="H197" i="19"/>
  <c r="D197" i="19"/>
  <c r="I196" i="19"/>
  <c r="G196" i="19"/>
  <c r="G195" i="19" s="1"/>
  <c r="E196" i="19"/>
  <c r="E195" i="19" s="1"/>
  <c r="C196" i="19"/>
  <c r="C195" i="19" s="1"/>
  <c r="I195" i="19"/>
  <c r="H194" i="19"/>
  <c r="D194" i="19"/>
  <c r="H193" i="19"/>
  <c r="H192" i="19" s="1"/>
  <c r="D193" i="19"/>
  <c r="I192" i="19"/>
  <c r="G192" i="19"/>
  <c r="E192" i="19"/>
  <c r="C192" i="19"/>
  <c r="H191" i="19"/>
  <c r="D191" i="19"/>
  <c r="H190" i="19"/>
  <c r="D190" i="19"/>
  <c r="H189" i="19"/>
  <c r="D189" i="19"/>
  <c r="H188" i="19"/>
  <c r="D188" i="19"/>
  <c r="H187" i="19"/>
  <c r="D187" i="19"/>
  <c r="H186" i="19"/>
  <c r="D186" i="19"/>
  <c r="H185" i="19"/>
  <c r="D185" i="19"/>
  <c r="I184" i="19"/>
  <c r="G184" i="19"/>
  <c r="E184" i="19"/>
  <c r="C184" i="19"/>
  <c r="H183" i="19"/>
  <c r="D183" i="19"/>
  <c r="H182" i="19"/>
  <c r="D182" i="19"/>
  <c r="H181" i="19"/>
  <c r="D181" i="19"/>
  <c r="H180" i="19"/>
  <c r="D180" i="19"/>
  <c r="H179" i="19"/>
  <c r="D179" i="19"/>
  <c r="H178" i="19"/>
  <c r="D178" i="19"/>
  <c r="H177" i="19"/>
  <c r="D177" i="19"/>
  <c r="H176" i="19"/>
  <c r="D176" i="19"/>
  <c r="H175" i="19"/>
  <c r="D175" i="19"/>
  <c r="H174" i="19"/>
  <c r="D174" i="19"/>
  <c r="H173" i="19"/>
  <c r="D173" i="19"/>
  <c r="H172" i="19"/>
  <c r="D172" i="19"/>
  <c r="H171" i="19"/>
  <c r="D171" i="19"/>
  <c r="H170" i="19"/>
  <c r="D170" i="19"/>
  <c r="H169" i="19"/>
  <c r="D169" i="19"/>
  <c r="H168" i="19"/>
  <c r="D168" i="19"/>
  <c r="H167" i="19"/>
  <c r="D167" i="19"/>
  <c r="H166" i="19"/>
  <c r="D166" i="19"/>
  <c r="H165" i="19"/>
  <c r="D165" i="19"/>
  <c r="H164" i="19"/>
  <c r="D164" i="19"/>
  <c r="H163" i="19"/>
  <c r="D163" i="19"/>
  <c r="H162" i="19"/>
  <c r="D162" i="19"/>
  <c r="H161" i="19"/>
  <c r="D161" i="19"/>
  <c r="H160" i="19"/>
  <c r="D160" i="19"/>
  <c r="H159" i="19"/>
  <c r="D159" i="19"/>
  <c r="H158" i="19"/>
  <c r="D158" i="19"/>
  <c r="H157" i="19"/>
  <c r="D157" i="19"/>
  <c r="H156" i="19"/>
  <c r="D156" i="19"/>
  <c r="H155" i="19"/>
  <c r="D155" i="19"/>
  <c r="H154" i="19"/>
  <c r="D154" i="19"/>
  <c r="H153" i="19"/>
  <c r="D153" i="19"/>
  <c r="H152" i="19"/>
  <c r="D152" i="19"/>
  <c r="I151" i="19"/>
  <c r="G151" i="19"/>
  <c r="G150" i="19" s="1"/>
  <c r="E151" i="19"/>
  <c r="C151" i="19"/>
  <c r="H149" i="19"/>
  <c r="D149" i="19"/>
  <c r="H148" i="19"/>
  <c r="D148" i="19"/>
  <c r="I147" i="19"/>
  <c r="G147" i="19"/>
  <c r="E147" i="19"/>
  <c r="C147" i="19"/>
  <c r="H146" i="19"/>
  <c r="D146" i="19"/>
  <c r="H145" i="19"/>
  <c r="D145" i="19"/>
  <c r="I144" i="19"/>
  <c r="G144" i="19"/>
  <c r="E144" i="19"/>
  <c r="C144" i="19"/>
  <c r="H143" i="19"/>
  <c r="D143" i="19"/>
  <c r="H142" i="19"/>
  <c r="D142" i="19"/>
  <c r="H141" i="19"/>
  <c r="D141" i="19"/>
  <c r="H140" i="19"/>
  <c r="D140" i="19"/>
  <c r="H139" i="19"/>
  <c r="D139" i="19"/>
  <c r="I138" i="19"/>
  <c r="G138" i="19"/>
  <c r="E138" i="19"/>
  <c r="C138" i="19"/>
  <c r="H137" i="19"/>
  <c r="D137" i="19"/>
  <c r="H136" i="19"/>
  <c r="D136" i="19"/>
  <c r="I135" i="19"/>
  <c r="G135" i="19"/>
  <c r="E135" i="19"/>
  <c r="C135" i="19"/>
  <c r="H134" i="19"/>
  <c r="D134" i="19"/>
  <c r="H133" i="19"/>
  <c r="D133" i="19"/>
  <c r="I132" i="19"/>
  <c r="G132" i="19"/>
  <c r="E132" i="19"/>
  <c r="C132" i="19"/>
  <c r="H131" i="19"/>
  <c r="D131" i="19"/>
  <c r="H130" i="19"/>
  <c r="D130" i="19"/>
  <c r="H129" i="19"/>
  <c r="D129" i="19"/>
  <c r="H128" i="19"/>
  <c r="D128" i="19"/>
  <c r="I127" i="19"/>
  <c r="G127" i="19"/>
  <c r="E127" i="19"/>
  <c r="C127" i="19"/>
  <c r="H126" i="19"/>
  <c r="D126" i="19"/>
  <c r="H125" i="19"/>
  <c r="D125" i="19"/>
  <c r="H124" i="19"/>
  <c r="D124" i="19"/>
  <c r="I123" i="19"/>
  <c r="G123" i="19"/>
  <c r="E123" i="19"/>
  <c r="C123" i="19"/>
  <c r="H122" i="19"/>
  <c r="H121" i="19" s="1"/>
  <c r="D122" i="19"/>
  <c r="I121" i="19"/>
  <c r="G121" i="19"/>
  <c r="E121" i="19"/>
  <c r="D121" i="19"/>
  <c r="C121" i="19"/>
  <c r="H120" i="19"/>
  <c r="D120" i="19"/>
  <c r="H119" i="19"/>
  <c r="D119" i="19"/>
  <c r="H118" i="19"/>
  <c r="D118" i="19"/>
  <c r="I117" i="19"/>
  <c r="G117" i="19"/>
  <c r="E117" i="19"/>
  <c r="C117" i="19"/>
  <c r="H115" i="19"/>
  <c r="H113" i="19" s="1"/>
  <c r="D115" i="19"/>
  <c r="H114" i="19"/>
  <c r="D114" i="19"/>
  <c r="I113" i="19"/>
  <c r="G113" i="19"/>
  <c r="E113" i="19"/>
  <c r="C113" i="19"/>
  <c r="I112" i="19"/>
  <c r="H112" i="19" s="1"/>
  <c r="D112" i="19"/>
  <c r="I111" i="19"/>
  <c r="H111" i="19" s="1"/>
  <c r="D111" i="19"/>
  <c r="I110" i="19"/>
  <c r="H110" i="19" s="1"/>
  <c r="D110" i="19"/>
  <c r="I109" i="19"/>
  <c r="H109" i="19"/>
  <c r="D109" i="19"/>
  <c r="I108" i="19"/>
  <c r="H108" i="19" s="1"/>
  <c r="D108" i="19"/>
  <c r="I107" i="19"/>
  <c r="H107" i="19" s="1"/>
  <c r="D107" i="19"/>
  <c r="G106" i="19"/>
  <c r="G105" i="19" s="1"/>
  <c r="E106" i="19"/>
  <c r="C106" i="19"/>
  <c r="H104" i="19"/>
  <c r="H103" i="19" s="1"/>
  <c r="D104" i="19"/>
  <c r="D103" i="19" s="1"/>
  <c r="I103" i="19"/>
  <c r="G103" i="19"/>
  <c r="E103" i="19"/>
  <c r="C103" i="19"/>
  <c r="H102" i="19"/>
  <c r="H101" i="19" s="1"/>
  <c r="D102" i="19"/>
  <c r="D101" i="19" s="1"/>
  <c r="I101" i="19"/>
  <c r="G101" i="19"/>
  <c r="E101" i="19"/>
  <c r="C101" i="19"/>
  <c r="H100" i="19"/>
  <c r="D100" i="19"/>
  <c r="H99" i="19"/>
  <c r="D99" i="19"/>
  <c r="H98" i="19"/>
  <c r="D98" i="19"/>
  <c r="H97" i="19"/>
  <c r="D97" i="19"/>
  <c r="H96" i="19"/>
  <c r="D96" i="19"/>
  <c r="H95" i="19"/>
  <c r="H94" i="19" s="1"/>
  <c r="D95" i="19"/>
  <c r="I94" i="19"/>
  <c r="G94" i="19"/>
  <c r="E94" i="19"/>
  <c r="C94" i="19"/>
  <c r="H93" i="19"/>
  <c r="D93" i="19"/>
  <c r="H92" i="19"/>
  <c r="D92" i="19"/>
  <c r="H91" i="19"/>
  <c r="D91" i="19"/>
  <c r="H90" i="19"/>
  <c r="D90" i="19"/>
  <c r="H89" i="19"/>
  <c r="D89" i="19"/>
  <c r="H88" i="19"/>
  <c r="D88" i="19"/>
  <c r="I87" i="19"/>
  <c r="G87" i="19"/>
  <c r="E87" i="19"/>
  <c r="C87" i="19"/>
  <c r="H86" i="19"/>
  <c r="D86" i="19"/>
  <c r="H85" i="19"/>
  <c r="D85" i="19"/>
  <c r="H84" i="19"/>
  <c r="D84" i="19"/>
  <c r="H82" i="19"/>
  <c r="D82" i="19"/>
  <c r="H81" i="19"/>
  <c r="H80" i="19" s="1"/>
  <c r="D81" i="19"/>
  <c r="I80" i="19"/>
  <c r="G80" i="19"/>
  <c r="E80" i="19"/>
  <c r="C80" i="19"/>
  <c r="I79" i="19"/>
  <c r="H79" i="19" s="1"/>
  <c r="D79" i="19"/>
  <c r="H78" i="19"/>
  <c r="D78" i="19"/>
  <c r="I77" i="19"/>
  <c r="H77" i="19" s="1"/>
  <c r="E77" i="19"/>
  <c r="H76" i="19"/>
  <c r="D76" i="19"/>
  <c r="G75" i="19"/>
  <c r="C75" i="19"/>
  <c r="H74" i="19"/>
  <c r="H73" i="19" s="1"/>
  <c r="D74" i="19"/>
  <c r="D73" i="19" s="1"/>
  <c r="I73" i="19"/>
  <c r="G73" i="19"/>
  <c r="E73" i="19"/>
  <c r="C73" i="19"/>
  <c r="H72" i="19"/>
  <c r="H71" i="19" s="1"/>
  <c r="D72" i="19"/>
  <c r="D71" i="19" s="1"/>
  <c r="I71" i="19"/>
  <c r="G71" i="19"/>
  <c r="E71" i="19"/>
  <c r="C71" i="19"/>
  <c r="D69" i="19"/>
  <c r="D68" i="19" s="1"/>
  <c r="G68" i="19"/>
  <c r="G62" i="19" s="1"/>
  <c r="E68" i="19"/>
  <c r="C68" i="19"/>
  <c r="H67" i="19"/>
  <c r="D67" i="19"/>
  <c r="H66" i="19"/>
  <c r="D66" i="19"/>
  <c r="I65" i="19"/>
  <c r="G65" i="19"/>
  <c r="E65" i="19"/>
  <c r="C65" i="19"/>
  <c r="C62" i="19" s="1"/>
  <c r="I64" i="19"/>
  <c r="H64" i="19" s="1"/>
  <c r="H63" i="19" s="1"/>
  <c r="D64" i="19"/>
  <c r="D63" i="19" s="1"/>
  <c r="G63" i="19"/>
  <c r="E63" i="19"/>
  <c r="C63" i="19"/>
  <c r="H61" i="19"/>
  <c r="D61" i="19"/>
  <c r="H60" i="19"/>
  <c r="D60" i="19"/>
  <c r="G59" i="19"/>
  <c r="H59" i="19" s="1"/>
  <c r="D59" i="19"/>
  <c r="I58" i="19"/>
  <c r="H58" i="19" s="1"/>
  <c r="H57" i="19" s="1"/>
  <c r="E58" i="19"/>
  <c r="D58" i="19" s="1"/>
  <c r="C57" i="19"/>
  <c r="H56" i="19"/>
  <c r="D56" i="19"/>
  <c r="H55" i="19"/>
  <c r="D55" i="19"/>
  <c r="G54" i="19"/>
  <c r="I69" i="19" s="1"/>
  <c r="D54" i="19"/>
  <c r="H53" i="19"/>
  <c r="D53" i="19"/>
  <c r="I52" i="19"/>
  <c r="E52" i="19"/>
  <c r="C52" i="19"/>
  <c r="H51" i="19"/>
  <c r="D51" i="19"/>
  <c r="H50" i="19"/>
  <c r="D50" i="19"/>
  <c r="H49" i="19"/>
  <c r="H47" i="19" s="1"/>
  <c r="D49" i="19"/>
  <c r="H48" i="19"/>
  <c r="D48" i="19"/>
  <c r="I47" i="19"/>
  <c r="G47" i="19"/>
  <c r="E47" i="19"/>
  <c r="C47" i="19"/>
  <c r="H46" i="19"/>
  <c r="D46" i="19"/>
  <c r="H45" i="19"/>
  <c r="D45" i="19"/>
  <c r="I44" i="19"/>
  <c r="I42" i="19" s="1"/>
  <c r="G44" i="19"/>
  <c r="D44" i="19"/>
  <c r="H43" i="19"/>
  <c r="D43" i="19"/>
  <c r="E42" i="19"/>
  <c r="C42" i="19"/>
  <c r="H41" i="19"/>
  <c r="D41" i="19"/>
  <c r="H40" i="19"/>
  <c r="D40" i="19"/>
  <c r="I39" i="19"/>
  <c r="I37" i="19" s="1"/>
  <c r="G39" i="19"/>
  <c r="D39" i="19"/>
  <c r="H38" i="19"/>
  <c r="D38" i="19"/>
  <c r="E37" i="19"/>
  <c r="C37" i="19"/>
  <c r="H36" i="19"/>
  <c r="D36" i="19"/>
  <c r="H35" i="19"/>
  <c r="D35" i="19"/>
  <c r="G34" i="19"/>
  <c r="H34" i="19" s="1"/>
  <c r="D34" i="19"/>
  <c r="H33" i="19"/>
  <c r="D33" i="19"/>
  <c r="I32" i="19"/>
  <c r="E32" i="19"/>
  <c r="C32" i="19"/>
  <c r="H30" i="19"/>
  <c r="D30" i="19"/>
  <c r="H29" i="19"/>
  <c r="D29" i="19"/>
  <c r="I28" i="19"/>
  <c r="G28" i="19"/>
  <c r="E28" i="19"/>
  <c r="C28" i="19"/>
  <c r="H27" i="19"/>
  <c r="D27" i="19"/>
  <c r="H26" i="19"/>
  <c r="D26" i="19"/>
  <c r="I25" i="19"/>
  <c r="G25" i="19"/>
  <c r="E25" i="19"/>
  <c r="C25" i="19"/>
  <c r="H24" i="19"/>
  <c r="D24" i="19"/>
  <c r="H23" i="19"/>
  <c r="D23" i="19"/>
  <c r="H22" i="19"/>
  <c r="D22" i="19"/>
  <c r="H21" i="19"/>
  <c r="D21" i="19"/>
  <c r="H20" i="19"/>
  <c r="D20" i="19"/>
  <c r="H19" i="19"/>
  <c r="D19" i="19"/>
  <c r="I18" i="19"/>
  <c r="G18" i="19"/>
  <c r="E18" i="19"/>
  <c r="C18" i="19"/>
  <c r="H17" i="19"/>
  <c r="D17" i="19"/>
  <c r="H16" i="19"/>
  <c r="D16" i="19"/>
  <c r="H15" i="19"/>
  <c r="D15" i="19"/>
  <c r="H14" i="19"/>
  <c r="D14" i="19"/>
  <c r="I13" i="19"/>
  <c r="G13" i="19"/>
  <c r="E13" i="19"/>
  <c r="C13" i="19"/>
  <c r="H12" i="19"/>
  <c r="D12" i="19"/>
  <c r="H11" i="19"/>
  <c r="D11" i="19"/>
  <c r="D10" i="19" s="1"/>
  <c r="I10" i="19"/>
  <c r="G10" i="19"/>
  <c r="E10" i="19"/>
  <c r="C10" i="19"/>
  <c r="H9" i="19"/>
  <c r="H8" i="19" s="1"/>
  <c r="D9" i="19"/>
  <c r="D8" i="19" s="1"/>
  <c r="I8" i="19"/>
  <c r="I7" i="19" s="1"/>
  <c r="E8" i="19"/>
  <c r="C8" i="19"/>
  <c r="D37" i="19" l="1"/>
  <c r="H151" i="19"/>
  <c r="D47" i="19"/>
  <c r="G52" i="14"/>
  <c r="I120" i="14"/>
  <c r="I113" i="14" s="1"/>
  <c r="H132" i="14"/>
  <c r="D189" i="14"/>
  <c r="D42" i="19"/>
  <c r="H14" i="21"/>
  <c r="H10" i="19"/>
  <c r="H106" i="19"/>
  <c r="D113" i="19"/>
  <c r="H123" i="19"/>
  <c r="H135" i="19"/>
  <c r="H147" i="19"/>
  <c r="I7" i="14"/>
  <c r="L10" i="14"/>
  <c r="L13" i="14"/>
  <c r="H144" i="14"/>
  <c r="L181" i="14"/>
  <c r="K11" i="13"/>
  <c r="L23" i="13"/>
  <c r="C8" i="13"/>
  <c r="D124" i="14"/>
  <c r="H18" i="19"/>
  <c r="H28" i="19"/>
  <c r="E7" i="19"/>
  <c r="H39" i="19"/>
  <c r="H44" i="19"/>
  <c r="H42" i="19" s="1"/>
  <c r="I63" i="19"/>
  <c r="D138" i="19"/>
  <c r="D147" i="19"/>
  <c r="D132" i="14"/>
  <c r="L141" i="14"/>
  <c r="M148" i="14"/>
  <c r="M147" i="14" s="1"/>
  <c r="I37" i="14"/>
  <c r="I31" i="14" s="1"/>
  <c r="I42" i="14"/>
  <c r="I58" i="14"/>
  <c r="H58" i="14" s="1"/>
  <c r="G113" i="14"/>
  <c r="H193" i="14"/>
  <c r="H192" i="14" s="1"/>
  <c r="E8" i="13"/>
  <c r="D18" i="19"/>
  <c r="D28" i="19"/>
  <c r="H65" i="19"/>
  <c r="D87" i="19"/>
  <c r="C105" i="19"/>
  <c r="C116" i="19"/>
  <c r="H138" i="19"/>
  <c r="I150" i="19"/>
  <c r="E150" i="19"/>
  <c r="H25" i="21"/>
  <c r="M37" i="14"/>
  <c r="K113" i="14"/>
  <c r="L193" i="14"/>
  <c r="L192" i="14" s="1"/>
  <c r="D94" i="19"/>
  <c r="H117" i="19"/>
  <c r="H13" i="14"/>
  <c r="H25" i="14"/>
  <c r="L28" i="14"/>
  <c r="K62" i="14"/>
  <c r="H65" i="14"/>
  <c r="L114" i="14"/>
  <c r="D193" i="14"/>
  <c r="D192" i="14" s="1"/>
  <c r="G17" i="13"/>
  <c r="C29" i="21"/>
  <c r="G116" i="19"/>
  <c r="E70" i="14"/>
  <c r="H189" i="14"/>
  <c r="M14" i="13"/>
  <c r="L14" i="13" s="1"/>
  <c r="L11" i="13" s="1"/>
  <c r="K17" i="13"/>
  <c r="K27" i="13" s="1"/>
  <c r="D32" i="19"/>
  <c r="E105" i="19"/>
  <c r="C7" i="19"/>
  <c r="H32" i="19"/>
  <c r="H127" i="19"/>
  <c r="H132" i="19"/>
  <c r="D28" i="14"/>
  <c r="D52" i="14"/>
  <c r="M87" i="14"/>
  <c r="M70" i="14" s="1"/>
  <c r="D13" i="19"/>
  <c r="I116" i="19"/>
  <c r="D127" i="19"/>
  <c r="D151" i="19"/>
  <c r="D192" i="19"/>
  <c r="D19" i="21"/>
  <c r="D25" i="21"/>
  <c r="K28" i="14"/>
  <c r="K7" i="14" s="1"/>
  <c r="H64" i="14"/>
  <c r="H63" i="14" s="1"/>
  <c r="G62" i="14"/>
  <c r="E113" i="14"/>
  <c r="L132" i="14"/>
  <c r="D148" i="14"/>
  <c r="D181" i="14"/>
  <c r="D147" i="14" s="1"/>
  <c r="H105" i="19"/>
  <c r="C113" i="14"/>
  <c r="H148" i="14"/>
  <c r="H14" i="13"/>
  <c r="H11" i="13" s="1"/>
  <c r="I11" i="13"/>
  <c r="H37" i="19"/>
  <c r="D52" i="19"/>
  <c r="D31" i="19" s="1"/>
  <c r="H54" i="19"/>
  <c r="I57" i="19"/>
  <c r="I31" i="19" s="1"/>
  <c r="D77" i="19"/>
  <c r="D75" i="19" s="1"/>
  <c r="E75" i="19"/>
  <c r="E70" i="19" s="1"/>
  <c r="C150" i="19"/>
  <c r="G32" i="14"/>
  <c r="K32" i="14"/>
  <c r="L35" i="14"/>
  <c r="L54" i="14"/>
  <c r="L52" i="14" s="1"/>
  <c r="K52" i="14"/>
  <c r="D57" i="14"/>
  <c r="I103" i="14"/>
  <c r="I102" i="14" s="1"/>
  <c r="H105" i="14"/>
  <c r="K147" i="14"/>
  <c r="L148" i="14"/>
  <c r="L147" i="14" s="1"/>
  <c r="G7" i="19"/>
  <c r="H13" i="19"/>
  <c r="D25" i="19"/>
  <c r="H52" i="19"/>
  <c r="D57" i="19"/>
  <c r="E116" i="19"/>
  <c r="H18" i="14"/>
  <c r="G42" i="14"/>
  <c r="D42" i="14"/>
  <c r="L47" i="14"/>
  <c r="G57" i="14"/>
  <c r="G102" i="14"/>
  <c r="D23" i="13"/>
  <c r="D8" i="13" s="1"/>
  <c r="H25" i="19"/>
  <c r="C31" i="19"/>
  <c r="G52" i="19"/>
  <c r="G57" i="19"/>
  <c r="G70" i="19"/>
  <c r="H202" i="19"/>
  <c r="H201" i="19" s="1"/>
  <c r="H200" i="19" s="1"/>
  <c r="I201" i="19"/>
  <c r="I200" i="19" s="1"/>
  <c r="G11" i="21"/>
  <c r="I17" i="21"/>
  <c r="H17" i="21" s="1"/>
  <c r="D37" i="14"/>
  <c r="L40" i="14"/>
  <c r="L37" i="14" s="1"/>
  <c r="I57" i="14"/>
  <c r="H59" i="14"/>
  <c r="H57" i="14" s="1"/>
  <c r="L64" i="14"/>
  <c r="L63" i="14" s="1"/>
  <c r="M63" i="14"/>
  <c r="M69" i="14"/>
  <c r="M68" i="14" s="1"/>
  <c r="M62" i="14" s="1"/>
  <c r="G75" i="14"/>
  <c r="G70" i="14" s="1"/>
  <c r="D75" i="14"/>
  <c r="L79" i="14"/>
  <c r="H80" i="14"/>
  <c r="D93" i="14"/>
  <c r="L123" i="14"/>
  <c r="L120" i="14" s="1"/>
  <c r="G11" i="13"/>
  <c r="G27" i="13" s="1"/>
  <c r="C70" i="19"/>
  <c r="H87" i="19"/>
  <c r="D123" i="19"/>
  <c r="D135" i="19"/>
  <c r="D144" i="19"/>
  <c r="D184" i="19"/>
  <c r="D196" i="19"/>
  <c r="D195" i="19" s="1"/>
  <c r="H19" i="21"/>
  <c r="M7" i="14"/>
  <c r="E7" i="14"/>
  <c r="D18" i="14"/>
  <c r="L18" i="14"/>
  <c r="D25" i="14"/>
  <c r="H28" i="14"/>
  <c r="L32" i="14"/>
  <c r="G37" i="14"/>
  <c r="E31" i="14"/>
  <c r="H45" i="14"/>
  <c r="K75" i="14"/>
  <c r="K70" i="14" s="1"/>
  <c r="D87" i="14"/>
  <c r="L87" i="14"/>
  <c r="M103" i="14"/>
  <c r="M102" i="14" s="1"/>
  <c r="H110" i="14"/>
  <c r="D114" i="14"/>
  <c r="M113" i="14"/>
  <c r="H124" i="14"/>
  <c r="L129" i="14"/>
  <c r="H135" i="14"/>
  <c r="L135" i="14"/>
  <c r="L144" i="14"/>
  <c r="E147" i="14"/>
  <c r="E27" i="13"/>
  <c r="E62" i="19"/>
  <c r="D65" i="19"/>
  <c r="D62" i="19" s="1"/>
  <c r="D80" i="19"/>
  <c r="D106" i="19"/>
  <c r="D105" i="19" s="1"/>
  <c r="D117" i="19"/>
  <c r="D132" i="19"/>
  <c r="H144" i="19"/>
  <c r="H184" i="19"/>
  <c r="H150" i="19" s="1"/>
  <c r="H196" i="19"/>
  <c r="H195" i="19" s="1"/>
  <c r="E29" i="21"/>
  <c r="D11" i="21"/>
  <c r="D8" i="21" s="1"/>
  <c r="C7" i="14"/>
  <c r="H10" i="14"/>
  <c r="D13" i="14"/>
  <c r="L25" i="14"/>
  <c r="C31" i="14"/>
  <c r="K37" i="14"/>
  <c r="M42" i="14"/>
  <c r="H47" i="14"/>
  <c r="D47" i="14"/>
  <c r="E62" i="14"/>
  <c r="D65" i="14"/>
  <c r="D62" i="14" s="1"/>
  <c r="L75" i="14"/>
  <c r="D80" i="14"/>
  <c r="H87" i="14"/>
  <c r="D103" i="14"/>
  <c r="D102" i="14" s="1"/>
  <c r="E102" i="14"/>
  <c r="D120" i="14"/>
  <c r="H120" i="14"/>
  <c r="L124" i="14"/>
  <c r="D129" i="14"/>
  <c r="D135" i="14"/>
  <c r="D144" i="14"/>
  <c r="G147" i="14"/>
  <c r="I147" i="14"/>
  <c r="H181" i="14"/>
  <c r="M11" i="13"/>
  <c r="M18" i="13"/>
  <c r="C27" i="13"/>
  <c r="I18" i="13"/>
  <c r="M57" i="14"/>
  <c r="M31" i="14" s="1"/>
  <c r="L59" i="14"/>
  <c r="L57" i="14" s="1"/>
  <c r="H75" i="14"/>
  <c r="H103" i="14"/>
  <c r="H39" i="14"/>
  <c r="L44" i="14"/>
  <c r="K57" i="14"/>
  <c r="K31" i="14" s="1"/>
  <c r="I75" i="14"/>
  <c r="L106" i="14"/>
  <c r="L103" i="14" s="1"/>
  <c r="L102" i="14" s="1"/>
  <c r="H34" i="14"/>
  <c r="H32" i="14" s="1"/>
  <c r="H40" i="14"/>
  <c r="L45" i="14"/>
  <c r="H54" i="14"/>
  <c r="H52" i="14" s="1"/>
  <c r="I69" i="14"/>
  <c r="H44" i="14"/>
  <c r="L83" i="14"/>
  <c r="L80" i="14" s="1"/>
  <c r="I87" i="14"/>
  <c r="G28" i="14"/>
  <c r="G7" i="14" s="1"/>
  <c r="I11" i="21"/>
  <c r="I29" i="21" s="1"/>
  <c r="H15" i="21"/>
  <c r="G8" i="21"/>
  <c r="G29" i="21"/>
  <c r="E8" i="21"/>
  <c r="H75" i="19"/>
  <c r="H70" i="19" s="1"/>
  <c r="I68" i="19"/>
  <c r="H69" i="19"/>
  <c r="H68" i="19" s="1"/>
  <c r="H62" i="19" s="1"/>
  <c r="E57" i="19"/>
  <c r="E31" i="19" s="1"/>
  <c r="I106" i="19"/>
  <c r="I105" i="19" s="1"/>
  <c r="G32" i="19"/>
  <c r="G37" i="19"/>
  <c r="G42" i="19"/>
  <c r="I75" i="19"/>
  <c r="I70" i="19" s="1"/>
  <c r="I62" i="19" l="1"/>
  <c r="C204" i="19"/>
  <c r="G8" i="13"/>
  <c r="D29" i="21"/>
  <c r="D7" i="19"/>
  <c r="K201" i="14"/>
  <c r="H7" i="19"/>
  <c r="K8" i="13"/>
  <c r="H116" i="19"/>
  <c r="D150" i="19"/>
  <c r="H102" i="14"/>
  <c r="H42" i="14"/>
  <c r="H113" i="14"/>
  <c r="L70" i="14"/>
  <c r="L42" i="14"/>
  <c r="L31" i="14" s="1"/>
  <c r="L201" i="14" s="1"/>
  <c r="H7" i="14"/>
  <c r="D113" i="14"/>
  <c r="E201" i="14"/>
  <c r="D7" i="14"/>
  <c r="H31" i="19"/>
  <c r="H147" i="14"/>
  <c r="D70" i="19"/>
  <c r="L7" i="14"/>
  <c r="D116" i="19"/>
  <c r="D204" i="19" s="1"/>
  <c r="L69" i="14"/>
  <c r="L68" i="14" s="1"/>
  <c r="L62" i="14" s="1"/>
  <c r="C201" i="14"/>
  <c r="L113" i="14"/>
  <c r="H204" i="19"/>
  <c r="D27" i="13"/>
  <c r="G201" i="14"/>
  <c r="H70" i="14"/>
  <c r="D70" i="14"/>
  <c r="G31" i="14"/>
  <c r="G31" i="19"/>
  <c r="G204" i="19" s="1"/>
  <c r="H11" i="21"/>
  <c r="H29" i="21" s="1"/>
  <c r="D31" i="14"/>
  <c r="I204" i="19"/>
  <c r="E204" i="19"/>
  <c r="M201" i="14"/>
  <c r="M17" i="13"/>
  <c r="L18" i="13"/>
  <c r="L17" i="13" s="1"/>
  <c r="L27" i="13" s="1"/>
  <c r="H18" i="13"/>
  <c r="H17" i="13" s="1"/>
  <c r="I17" i="13"/>
  <c r="H69" i="14"/>
  <c r="H68" i="14" s="1"/>
  <c r="H62" i="14" s="1"/>
  <c r="I68" i="14"/>
  <c r="I62" i="14" s="1"/>
  <c r="H37" i="14"/>
  <c r="H31" i="14" s="1"/>
  <c r="I70" i="14"/>
  <c r="I8" i="21"/>
  <c r="H8" i="21" l="1"/>
  <c r="H201" i="14"/>
  <c r="D201" i="14"/>
  <c r="I201" i="14"/>
  <c r="M27" i="13"/>
  <c r="M8" i="13"/>
  <c r="H8" i="13"/>
  <c r="H27" i="13"/>
  <c r="I8" i="13"/>
  <c r="I27" i="13"/>
  <c r="L8" i="13"/>
  <c r="D12" i="16" l="1"/>
  <c r="F17" i="16" s="1"/>
  <c r="D163" i="15" l="1"/>
  <c r="E166" i="15"/>
  <c r="F105" i="15" l="1"/>
  <c r="D104" i="15"/>
  <c r="F53" i="15"/>
  <c r="D52" i="15"/>
  <c r="D50" i="15"/>
  <c r="F51" i="15"/>
  <c r="D8" i="15"/>
  <c r="E138" i="15" l="1"/>
  <c r="E137" i="15"/>
  <c r="E136" i="15"/>
  <c r="E135" i="15"/>
  <c r="E134" i="15"/>
  <c r="F133" i="15"/>
  <c r="D133" i="15"/>
  <c r="E133" i="15" l="1"/>
  <c r="D176" i="15"/>
  <c r="F193" i="15"/>
  <c r="D193" i="15"/>
  <c r="E198" i="15"/>
  <c r="E211" i="15"/>
  <c r="E210" i="15" s="1"/>
  <c r="F210" i="15"/>
  <c r="D210" i="15"/>
  <c r="E181" i="15"/>
  <c r="E180" i="15"/>
  <c r="F176" i="15"/>
  <c r="F307" i="15" l="1"/>
  <c r="D307" i="15"/>
  <c r="D306" i="15" s="1"/>
  <c r="E309" i="15"/>
  <c r="E35" i="16"/>
  <c r="E33" i="16"/>
  <c r="E27" i="16"/>
  <c r="E29" i="16"/>
  <c r="E13" i="16"/>
  <c r="E15" i="16"/>
  <c r="D41" i="16"/>
  <c r="E197" i="15"/>
  <c r="E287" i="15"/>
  <c r="E298" i="15"/>
  <c r="E297" i="15"/>
  <c r="E296" i="15"/>
  <c r="E295" i="15"/>
  <c r="E294" i="15"/>
  <c r="E293" i="15"/>
  <c r="E292" i="15"/>
  <c r="E291" i="15"/>
  <c r="E290" i="15"/>
  <c r="E289" i="15"/>
  <c r="E288" i="15"/>
  <c r="E286" i="15"/>
  <c r="E285" i="15"/>
  <c r="F284" i="15"/>
  <c r="D284" i="15"/>
  <c r="D213" i="15"/>
  <c r="E195" i="15"/>
  <c r="E191" i="15"/>
  <c r="E190" i="15"/>
  <c r="E173" i="15"/>
  <c r="E172" i="15"/>
  <c r="E171" i="15"/>
  <c r="E170" i="15"/>
  <c r="E161" i="15" l="1"/>
  <c r="E146" i="15"/>
  <c r="E143" i="15"/>
  <c r="E141" i="15"/>
  <c r="E130" i="15"/>
  <c r="E128" i="15"/>
  <c r="E129" i="15"/>
  <c r="E126" i="15"/>
  <c r="E123" i="15"/>
  <c r="E122" i="15"/>
  <c r="F121" i="15"/>
  <c r="D121" i="15"/>
  <c r="E120" i="15"/>
  <c r="F118" i="15"/>
  <c r="D118" i="15"/>
  <c r="E113" i="15"/>
  <c r="D111" i="15"/>
  <c r="E97" i="15"/>
  <c r="E86" i="15"/>
  <c r="E80" i="15"/>
  <c r="E75" i="15"/>
  <c r="E74" i="15"/>
  <c r="E73" i="15"/>
  <c r="E72" i="15"/>
  <c r="E69" i="15"/>
  <c r="E121" i="15" l="1"/>
  <c r="F111" i="15"/>
  <c r="E44" i="15"/>
  <c r="E29" i="15"/>
  <c r="E21" i="15"/>
  <c r="E20" i="15"/>
  <c r="F16" i="15"/>
  <c r="D16" i="15"/>
  <c r="E18" i="15"/>
  <c r="E15" i="15"/>
  <c r="E14" i="15"/>
  <c r="E11" i="15"/>
  <c r="E10" i="15"/>
  <c r="E9" i="15"/>
  <c r="F12" i="15"/>
  <c r="D12" i="15"/>
  <c r="F8" i="15"/>
  <c r="E8" i="15" l="1"/>
  <c r="B19" i="20" l="1"/>
  <c r="B8" i="20"/>
  <c r="B7" i="20"/>
  <c r="B6" i="20"/>
  <c r="B4" i="20"/>
  <c r="B3" i="20"/>
  <c r="B11" i="20" s="1"/>
  <c r="B21" i="20" l="1"/>
  <c r="B26" i="20" s="1"/>
  <c r="B32" i="20" s="1"/>
  <c r="E56" i="17"/>
  <c r="F38" i="15" l="1"/>
  <c r="F23" i="15"/>
  <c r="E49" i="17" l="1"/>
  <c r="E70" i="17" l="1"/>
  <c r="E72" i="17"/>
  <c r="E48" i="17" l="1"/>
  <c r="E46" i="17"/>
  <c r="E45" i="17"/>
  <c r="E57" i="17"/>
  <c r="E61" i="17" s="1"/>
  <c r="E53" i="17" l="1"/>
  <c r="E63" i="17" s="1"/>
  <c r="E68" i="17" s="1"/>
  <c r="E73" i="17" l="1"/>
  <c r="E27" i="15"/>
  <c r="E26" i="15"/>
  <c r="F156" i="15" l="1"/>
  <c r="D106" i="15" l="1"/>
  <c r="F107" i="15"/>
  <c r="F64" i="15"/>
  <c r="D63" i="15"/>
  <c r="D95" i="15"/>
  <c r="F11" i="16" l="1"/>
  <c r="D11" i="16"/>
  <c r="F124" i="15"/>
  <c r="E127" i="15" l="1"/>
  <c r="E26" i="16" l="1"/>
  <c r="E28" i="16"/>
  <c r="F163" i="15"/>
  <c r="E158" i="15"/>
  <c r="E152" i="15"/>
  <c r="E151" i="15"/>
  <c r="E145" i="15"/>
  <c r="E109" i="15" l="1"/>
  <c r="E108" i="15"/>
  <c r="E107" i="15"/>
  <c r="E106" i="15"/>
  <c r="E105" i="15"/>
  <c r="E104" i="15"/>
  <c r="E103" i="15"/>
  <c r="E102" i="15"/>
  <c r="E101" i="15"/>
  <c r="E100" i="15"/>
  <c r="E90" i="15"/>
  <c r="F94" i="15"/>
  <c r="E94" i="15" s="1"/>
  <c r="D93" i="15"/>
  <c r="E93" i="15" s="1"/>
  <c r="E98" i="15"/>
  <c r="E92" i="15"/>
  <c r="F89" i="15"/>
  <c r="E85" i="15"/>
  <c r="E84" i="15"/>
  <c r="E83" i="15"/>
  <c r="E87" i="15"/>
  <c r="E81" i="15"/>
  <c r="E51" i="15"/>
  <c r="E64" i="15"/>
  <c r="E63" i="15"/>
  <c r="F62" i="15"/>
  <c r="E62" i="15" s="1"/>
  <c r="D61" i="15"/>
  <c r="E61" i="15" s="1"/>
  <c r="E65" i="15"/>
  <c r="E58" i="15"/>
  <c r="E53" i="15"/>
  <c r="E52" i="15"/>
  <c r="E50" i="15"/>
  <c r="E54" i="15"/>
  <c r="E47" i="15"/>
  <c r="E42" i="15"/>
  <c r="E112" i="15"/>
  <c r="E111" i="15" s="1"/>
  <c r="D115" i="15"/>
  <c r="D110" i="15" s="1"/>
  <c r="F115" i="15"/>
  <c r="F110" i="15" s="1"/>
  <c r="E116" i="15"/>
  <c r="E57" i="15"/>
  <c r="E49" i="15"/>
  <c r="F31" i="16" l="1"/>
  <c r="D31" i="16"/>
  <c r="F88" i="15"/>
  <c r="E82" i="15"/>
  <c r="E96" i="15"/>
  <c r="E95" i="15"/>
  <c r="E115" i="15"/>
  <c r="E110" i="15" s="1"/>
  <c r="E34" i="16"/>
  <c r="E40" i="16"/>
  <c r="E38" i="16"/>
  <c r="E36" i="16"/>
  <c r="E32" i="16"/>
  <c r="F41" i="16"/>
  <c r="E30" i="16"/>
  <c r="E42" i="16"/>
  <c r="E43" i="16"/>
  <c r="D21" i="16" l="1"/>
  <c r="E39" i="16"/>
  <c r="F21" i="16"/>
  <c r="E37" i="16"/>
  <c r="E41" i="16"/>
  <c r="E31" i="16" l="1"/>
  <c r="F99" i="15"/>
  <c r="D99" i="15"/>
  <c r="E99" i="15" l="1"/>
  <c r="E25" i="16" l="1"/>
  <c r="E24" i="16"/>
  <c r="E20" i="16"/>
  <c r="E14" i="16"/>
  <c r="E12" i="16"/>
  <c r="E10" i="16"/>
  <c r="E9" i="16" s="1"/>
  <c r="F9" i="16"/>
  <c r="D9" i="16"/>
  <c r="D45" i="16" l="1"/>
  <c r="E22" i="16"/>
  <c r="E16" i="16"/>
  <c r="E18" i="16"/>
  <c r="E17" i="16"/>
  <c r="E21" i="16" l="1"/>
  <c r="D8" i="16"/>
  <c r="E23" i="16"/>
  <c r="E19" i="16"/>
  <c r="E11" i="16" s="1"/>
  <c r="E45" i="16" l="1"/>
  <c r="F8" i="16"/>
  <c r="F45" i="16"/>
  <c r="E160" i="15"/>
  <c r="E159" i="15" s="1"/>
  <c r="F159" i="15"/>
  <c r="D159" i="15"/>
  <c r="E8" i="16" l="1"/>
  <c r="L7" i="17" l="1"/>
  <c r="E308" i="15" l="1"/>
  <c r="F306" i="15"/>
  <c r="E305" i="15"/>
  <c r="E304" i="15"/>
  <c r="E303" i="15"/>
  <c r="F302" i="15"/>
  <c r="F301" i="15" s="1"/>
  <c r="D302" i="15"/>
  <c r="D301" i="15" s="1"/>
  <c r="E300" i="15"/>
  <c r="F299" i="15"/>
  <c r="D299" i="15"/>
  <c r="D212" i="15" s="1"/>
  <c r="E209" i="15"/>
  <c r="F208" i="15"/>
  <c r="D208" i="15"/>
  <c r="E207" i="15"/>
  <c r="E206" i="15"/>
  <c r="E205" i="15"/>
  <c r="E204" i="15"/>
  <c r="E203" i="15"/>
  <c r="F202" i="15"/>
  <c r="D202" i="15"/>
  <c r="E201" i="15"/>
  <c r="E200" i="15"/>
  <c r="F199" i="15"/>
  <c r="D199" i="15"/>
  <c r="E196" i="15"/>
  <c r="E194" i="15"/>
  <c r="E192" i="15"/>
  <c r="E189" i="15"/>
  <c r="F188" i="15"/>
  <c r="D188" i="15"/>
  <c r="E187" i="15"/>
  <c r="E186" i="15"/>
  <c r="E185" i="15"/>
  <c r="D184" i="15"/>
  <c r="E183" i="15"/>
  <c r="E182" i="15" s="1"/>
  <c r="F182" i="15"/>
  <c r="D182" i="15"/>
  <c r="E179" i="15"/>
  <c r="E178" i="15"/>
  <c r="E177" i="15"/>
  <c r="E174" i="15"/>
  <c r="E169" i="15"/>
  <c r="F168" i="15"/>
  <c r="F162" i="15" s="1"/>
  <c r="D168" i="15"/>
  <c r="E165" i="15"/>
  <c r="E164" i="15"/>
  <c r="E157" i="15"/>
  <c r="E156" i="15" s="1"/>
  <c r="D156" i="15"/>
  <c r="E153" i="15"/>
  <c r="E150" i="15"/>
  <c r="E149" i="15"/>
  <c r="E147" i="15"/>
  <c r="E144" i="15"/>
  <c r="E140" i="15"/>
  <c r="D139" i="15"/>
  <c r="E132" i="15"/>
  <c r="E131" i="15"/>
  <c r="E125" i="15"/>
  <c r="E119" i="15"/>
  <c r="E118" i="15" s="1"/>
  <c r="E78" i="15"/>
  <c r="F77" i="15"/>
  <c r="E76" i="15"/>
  <c r="E71" i="15"/>
  <c r="E70" i="15"/>
  <c r="E68" i="15"/>
  <c r="F67" i="15"/>
  <c r="D67" i="15"/>
  <c r="E66" i="15"/>
  <c r="E55" i="15"/>
  <c r="E46" i="15"/>
  <c r="E43" i="15"/>
  <c r="E41" i="15"/>
  <c r="E39" i="15"/>
  <c r="E36" i="15"/>
  <c r="E35" i="15"/>
  <c r="F34" i="15"/>
  <c r="D34" i="15"/>
  <c r="E33" i="15"/>
  <c r="E32" i="15"/>
  <c r="F31" i="15"/>
  <c r="D31" i="15"/>
  <c r="E30" i="15"/>
  <c r="E28" i="15"/>
  <c r="E25" i="15"/>
  <c r="E24" i="15"/>
  <c r="D23" i="15"/>
  <c r="E22" i="15"/>
  <c r="E19" i="15"/>
  <c r="E17" i="15"/>
  <c r="E13" i="15"/>
  <c r="E12" i="15" s="1"/>
  <c r="L30" i="17"/>
  <c r="K30" i="17"/>
  <c r="J30" i="17"/>
  <c r="I30" i="17"/>
  <c r="L28" i="17"/>
  <c r="K28" i="17"/>
  <c r="J28" i="17"/>
  <c r="I28" i="17"/>
  <c r="K24" i="17"/>
  <c r="G21" i="17"/>
  <c r="K19" i="17"/>
  <c r="L15" i="17"/>
  <c r="J15" i="17"/>
  <c r="I15" i="17"/>
  <c r="I19" i="17" s="1"/>
  <c r="L14" i="17"/>
  <c r="J14" i="17"/>
  <c r="K11" i="17"/>
  <c r="I11" i="17"/>
  <c r="J8" i="17"/>
  <c r="J11" i="17" s="1"/>
  <c r="L6" i="17"/>
  <c r="L4" i="17"/>
  <c r="L3" i="17"/>
  <c r="E148" i="15" l="1"/>
  <c r="E168" i="15"/>
  <c r="E163" i="15"/>
  <c r="E176" i="15"/>
  <c r="F7" i="15"/>
  <c r="E193" i="15"/>
  <c r="D175" i="15"/>
  <c r="E307" i="15"/>
  <c r="E306" i="15" s="1"/>
  <c r="E284" i="15"/>
  <c r="J19" i="17"/>
  <c r="J21" i="17" s="1"/>
  <c r="J26" i="17" s="1"/>
  <c r="J31" i="17" s="1"/>
  <c r="E16" i="15"/>
  <c r="I21" i="17"/>
  <c r="I26" i="17" s="1"/>
  <c r="I31" i="17" s="1"/>
  <c r="K21" i="17"/>
  <c r="K26" i="17" s="1"/>
  <c r="K31" i="17" s="1"/>
  <c r="L11" i="17"/>
  <c r="L19" i="17"/>
  <c r="E34" i="15"/>
  <c r="D7" i="15"/>
  <c r="E142" i="15"/>
  <c r="E139" i="15" s="1"/>
  <c r="F139" i="15"/>
  <c r="F117" i="15" s="1"/>
  <c r="E124" i="15"/>
  <c r="E23" i="15"/>
  <c r="E299" i="15"/>
  <c r="E60" i="15"/>
  <c r="D56" i="15"/>
  <c r="E67" i="15"/>
  <c r="D124" i="15"/>
  <c r="D117" i="15" s="1"/>
  <c r="E188" i="15"/>
  <c r="E31" i="15"/>
  <c r="D162" i="15"/>
  <c r="E199" i="15"/>
  <c r="F184" i="15"/>
  <c r="F175" i="15" s="1"/>
  <c r="E208" i="15"/>
  <c r="E59" i="15"/>
  <c r="E48" i="15"/>
  <c r="E184" i="15"/>
  <c r="D45" i="15"/>
  <c r="D77" i="15"/>
  <c r="E89" i="15"/>
  <c r="E302" i="15"/>
  <c r="E301" i="15" s="1"/>
  <c r="E202" i="15"/>
  <c r="F45" i="15"/>
  <c r="D88" i="15"/>
  <c r="F56" i="15"/>
  <c r="E91" i="15"/>
  <c r="E79" i="15"/>
  <c r="E40" i="15"/>
  <c r="E38" i="15" s="1"/>
  <c r="F212" i="15"/>
  <c r="E175" i="15" l="1"/>
  <c r="F37" i="15"/>
  <c r="F311" i="15" s="1"/>
  <c r="D37" i="15"/>
  <c r="D311" i="15" s="1"/>
  <c r="L21" i="17"/>
  <c r="L26" i="17" s="1"/>
  <c r="L31" i="17" s="1"/>
  <c r="E45" i="15"/>
  <c r="E56" i="15"/>
  <c r="E117" i="15"/>
  <c r="E162" i="15"/>
  <c r="E88" i="15"/>
  <c r="E77" i="15"/>
  <c r="E7" i="15"/>
  <c r="E212" i="15"/>
  <c r="E37" i="15" l="1"/>
  <c r="E311" i="15" s="1"/>
</calcChain>
</file>

<file path=xl/sharedStrings.xml><?xml version="1.0" encoding="utf-8"?>
<sst xmlns="http://schemas.openxmlformats.org/spreadsheetml/2006/main" count="1918" uniqueCount="945">
  <si>
    <t>Ansatz WS</t>
  </si>
  <si>
    <t>Ansatz SS</t>
  </si>
  <si>
    <t>Titel</t>
  </si>
  <si>
    <t>Bezeichnung</t>
  </si>
  <si>
    <t>Einnahmen</t>
  </si>
  <si>
    <t>Saldo</t>
  </si>
  <si>
    <t>Ausgaben</t>
  </si>
  <si>
    <t>Finanzverwaltung</t>
  </si>
  <si>
    <t>11</t>
  </si>
  <si>
    <t>Überschuss</t>
  </si>
  <si>
    <t>11 01</t>
  </si>
  <si>
    <t>Überschuss des Vorjahres</t>
  </si>
  <si>
    <t>12</t>
  </si>
  <si>
    <t>Kontoführung</t>
  </si>
  <si>
    <t>12 01</t>
  </si>
  <si>
    <t>Zinsen</t>
  </si>
  <si>
    <t>12 02</t>
  </si>
  <si>
    <t>Gebühren</t>
  </si>
  <si>
    <t>13</t>
  </si>
  <si>
    <t>Rücklagen</t>
  </si>
  <si>
    <t>13 01</t>
  </si>
  <si>
    <t>Betriebsmittelrücklage</t>
  </si>
  <si>
    <t>13 02</t>
  </si>
  <si>
    <t>Erneuerungsrücklage SP-Saal</t>
  </si>
  <si>
    <t>13 03</t>
  </si>
  <si>
    <t>Rücklage Sozialfonds</t>
  </si>
  <si>
    <t>13 04</t>
  </si>
  <si>
    <t>Rücklage Inventar</t>
  </si>
  <si>
    <t>14</t>
  </si>
  <si>
    <t>14 01</t>
  </si>
  <si>
    <t>14 02</t>
  </si>
  <si>
    <t>14 03</t>
  </si>
  <si>
    <t>Gewerbesteuer</t>
  </si>
  <si>
    <t>14 04</t>
  </si>
  <si>
    <t>16</t>
  </si>
  <si>
    <t>Spenden und Sponsoring</t>
  </si>
  <si>
    <t>16 01</t>
  </si>
  <si>
    <t>Spenden</t>
  </si>
  <si>
    <t>16 02</t>
  </si>
  <si>
    <t>Sponsoring</t>
  </si>
  <si>
    <t>17</t>
  </si>
  <si>
    <t>Rückstellungen</t>
  </si>
  <si>
    <t>17 01</t>
  </si>
  <si>
    <t>Sonstige Rückstellungen</t>
  </si>
  <si>
    <t>17 02</t>
  </si>
  <si>
    <t>Rückstellung Fachschaftsvermögen</t>
  </si>
  <si>
    <t>2</t>
  </si>
  <si>
    <t>Semesterbeiträge</t>
  </si>
  <si>
    <t>21</t>
  </si>
  <si>
    <t>AStA-Beitrag</t>
  </si>
  <si>
    <t>21 01</t>
  </si>
  <si>
    <t>21 02</t>
  </si>
  <si>
    <t>WS aktuelles HHJ</t>
  </si>
  <si>
    <t>21 03</t>
  </si>
  <si>
    <t>SS aktuelles HHJ</t>
  </si>
  <si>
    <t>21 04</t>
  </si>
  <si>
    <t>Vorauszahlungen</t>
  </si>
  <si>
    <t>22</t>
  </si>
  <si>
    <t>Hochschulradio</t>
  </si>
  <si>
    <t>22 01</t>
  </si>
  <si>
    <t>22 02</t>
  </si>
  <si>
    <t>22 03</t>
  </si>
  <si>
    <t>22 04</t>
  </si>
  <si>
    <t>23</t>
  </si>
  <si>
    <t>Hochschulsport</t>
  </si>
  <si>
    <t>23 01</t>
  </si>
  <si>
    <t>23 02</t>
  </si>
  <si>
    <t>23 03</t>
  </si>
  <si>
    <t>23 04</t>
  </si>
  <si>
    <t>24</t>
  </si>
  <si>
    <t>Deckung des Sozialfonds</t>
  </si>
  <si>
    <t>24 01</t>
  </si>
  <si>
    <t>24 02</t>
  </si>
  <si>
    <t>24 03</t>
  </si>
  <si>
    <t>24 04</t>
  </si>
  <si>
    <t>25</t>
  </si>
  <si>
    <t>Semesterticket Sozial</t>
  </si>
  <si>
    <t>25 01</t>
  </si>
  <si>
    <t>25 02</t>
  </si>
  <si>
    <t>25 03</t>
  </si>
  <si>
    <t>25 04</t>
  </si>
  <si>
    <t>26</t>
  </si>
  <si>
    <t>Fachschaftsbeitrag</t>
  </si>
  <si>
    <t>26 01</t>
  </si>
  <si>
    <t>26 02</t>
  </si>
  <si>
    <t>26 03</t>
  </si>
  <si>
    <t>26 04</t>
  </si>
  <si>
    <t>4</t>
  </si>
  <si>
    <t>Sozialausgaben</t>
  </si>
  <si>
    <t>41</t>
  </si>
  <si>
    <t>Sozialdarlehen</t>
  </si>
  <si>
    <t>41 01</t>
  </si>
  <si>
    <t>42</t>
  </si>
  <si>
    <t>Beitreibungskosten</t>
  </si>
  <si>
    <t>42 01</t>
  </si>
  <si>
    <t>Gerichtskosten</t>
  </si>
  <si>
    <t>42 02</t>
  </si>
  <si>
    <t>Rechtsanwaltskosten</t>
  </si>
  <si>
    <t>43</t>
  </si>
  <si>
    <t>Rückerstattungen Semesterticket Sozial</t>
  </si>
  <si>
    <t>43 01</t>
  </si>
  <si>
    <t>5</t>
  </si>
  <si>
    <t>Dienstleistungen</t>
  </si>
  <si>
    <t>51</t>
  </si>
  <si>
    <t>Rechtsberatung</t>
  </si>
  <si>
    <t>51 01</t>
  </si>
  <si>
    <t>52</t>
  </si>
  <si>
    <t>Sozialberatung</t>
  </si>
  <si>
    <t>52 01</t>
  </si>
  <si>
    <t>53</t>
  </si>
  <si>
    <t>Deutschkurse</t>
  </si>
  <si>
    <t>53 01</t>
  </si>
  <si>
    <t>Teilnehmergebühren</t>
  </si>
  <si>
    <t>53 02</t>
  </si>
  <si>
    <t>Lehrkrafthonorare</t>
  </si>
  <si>
    <t>53 03</t>
  </si>
  <si>
    <t>Materialkosten</t>
  </si>
  <si>
    <t>54</t>
  </si>
  <si>
    <t>54 01</t>
  </si>
  <si>
    <t>55</t>
  </si>
  <si>
    <t>SP-Saal-Vergabe</t>
  </si>
  <si>
    <t>55 01</t>
  </si>
  <si>
    <t>Kautionen</t>
  </si>
  <si>
    <t>55 02</t>
  </si>
  <si>
    <t>Abnutzungspauschale</t>
  </si>
  <si>
    <t>55 03</t>
  </si>
  <si>
    <t>Putzpauschale</t>
  </si>
  <si>
    <t>55 04</t>
  </si>
  <si>
    <t>Veranstalterhaftpflicht</t>
  </si>
  <si>
    <t>55 05</t>
  </si>
  <si>
    <t>Reinigungsmittel</t>
  </si>
  <si>
    <t>55 06</t>
  </si>
  <si>
    <t>GEMA-Gebühren</t>
  </si>
  <si>
    <t>56</t>
  </si>
  <si>
    <t>Veranstaltungen &amp; Initiativen</t>
  </si>
  <si>
    <t>56 01</t>
  </si>
  <si>
    <t>Sonstige Veranstaltungen &amp; Initiativen</t>
  </si>
  <si>
    <t>56 02</t>
  </si>
  <si>
    <t>ESAG</t>
  </si>
  <si>
    <t>57</t>
  </si>
  <si>
    <t>Kulturreferat</t>
  </si>
  <si>
    <t>57 01</t>
  </si>
  <si>
    <t>57 02</t>
  </si>
  <si>
    <t>57 03</t>
  </si>
  <si>
    <t>Ausgleichszahlungen</t>
  </si>
  <si>
    <t>57 04</t>
  </si>
  <si>
    <t>57 05</t>
  </si>
  <si>
    <t>Neuanschaffungen und Reparaturen</t>
  </si>
  <si>
    <t>58</t>
  </si>
  <si>
    <t>Fahrradwerkstatt</t>
  </si>
  <si>
    <t>58 01</t>
  </si>
  <si>
    <t>Material für Fahrradwerkstatt</t>
  </si>
  <si>
    <t>6</t>
  </si>
  <si>
    <t>Personal</t>
  </si>
  <si>
    <t>61</t>
  </si>
  <si>
    <t>Lohn</t>
  </si>
  <si>
    <t>61 01</t>
  </si>
  <si>
    <t>Abteilung 1</t>
  </si>
  <si>
    <t>61 02</t>
  </si>
  <si>
    <t>Abteilung 2</t>
  </si>
  <si>
    <t>61 03</t>
  </si>
  <si>
    <t>Abteilung 3</t>
  </si>
  <si>
    <t>61 04</t>
  </si>
  <si>
    <t>Abteilung 4</t>
  </si>
  <si>
    <t>61 05</t>
  </si>
  <si>
    <t>Abteilung 5</t>
  </si>
  <si>
    <t>61 06</t>
  </si>
  <si>
    <t>Abteilung 6</t>
  </si>
  <si>
    <t>62</t>
  </si>
  <si>
    <t>Lohnnebenkosten</t>
  </si>
  <si>
    <t>62 01</t>
  </si>
  <si>
    <t>62 02</t>
  </si>
  <si>
    <t>7</t>
  </si>
  <si>
    <t>Sachkosten</t>
  </si>
  <si>
    <t>71</t>
  </si>
  <si>
    <t>Geschäftsbedarf</t>
  </si>
  <si>
    <t>71 01</t>
  </si>
  <si>
    <t>Verbrauchsmaterialien</t>
  </si>
  <si>
    <t>71 02</t>
  </si>
  <si>
    <t>Druck- und Bindekosten</t>
  </si>
  <si>
    <t>71 03</t>
  </si>
  <si>
    <t>Buchhaltung</t>
  </si>
  <si>
    <t>72</t>
  </si>
  <si>
    <t>Bücher &amp; Medien</t>
  </si>
  <si>
    <t>72 01</t>
  </si>
  <si>
    <t>73</t>
  </si>
  <si>
    <t>Kommunikation</t>
  </si>
  <si>
    <t>73 01</t>
  </si>
  <si>
    <t>Telefongebühren</t>
  </si>
  <si>
    <t>73 02</t>
  </si>
  <si>
    <t>Portokosten</t>
  </si>
  <si>
    <t>74</t>
  </si>
  <si>
    <t>Ausstattung &amp; Geräte</t>
  </si>
  <si>
    <t>74 01</t>
  </si>
  <si>
    <t>Gegenstände bis 150 €</t>
  </si>
  <si>
    <t>74 02</t>
  </si>
  <si>
    <t>Gegenstände von 150 € - 450 €</t>
  </si>
  <si>
    <t>74 03</t>
  </si>
  <si>
    <t>Gegenstände über 450 €</t>
  </si>
  <si>
    <t>74 04</t>
  </si>
  <si>
    <t>Reparaturen &amp; Unterhalt</t>
  </si>
  <si>
    <t>75</t>
  </si>
  <si>
    <t>Repräsentation</t>
  </si>
  <si>
    <t>75 01</t>
  </si>
  <si>
    <t>75 02</t>
  </si>
  <si>
    <t>Aufmerksamkeiten</t>
  </si>
  <si>
    <t>76</t>
  </si>
  <si>
    <t>Prozess- und Beratungskosten</t>
  </si>
  <si>
    <t>76 01</t>
  </si>
  <si>
    <t>Anwalts- und Gerichtskosten</t>
  </si>
  <si>
    <t>76 02</t>
  </si>
  <si>
    <t>Beratungs- und Gutachtenkosten</t>
  </si>
  <si>
    <t>77</t>
  </si>
  <si>
    <t>Versicherungen &amp; Mitgliedschaften</t>
  </si>
  <si>
    <t>77 01</t>
  </si>
  <si>
    <t>Versicherungen</t>
  </si>
  <si>
    <t>77 02</t>
  </si>
  <si>
    <t>77 03</t>
  </si>
  <si>
    <t>Mitgliedschaften</t>
  </si>
  <si>
    <t>77 04</t>
  </si>
  <si>
    <t>Sicherheitskosten</t>
  </si>
  <si>
    <t>78</t>
  </si>
  <si>
    <t>78 01</t>
  </si>
  <si>
    <t>AStA</t>
  </si>
  <si>
    <t>78 02</t>
  </si>
  <si>
    <t>Fachschaften</t>
  </si>
  <si>
    <t>79</t>
  </si>
  <si>
    <t>Publikationen</t>
  </si>
  <si>
    <t>79 01</t>
  </si>
  <si>
    <t>Regelmäßige Publikationen</t>
  </si>
  <si>
    <t>79 02</t>
  </si>
  <si>
    <t>Sonstige Publikationen</t>
  </si>
  <si>
    <t>8</t>
  </si>
  <si>
    <t>Zuweisungen an Organe der Studierendenschaft</t>
  </si>
  <si>
    <t>81</t>
  </si>
  <si>
    <t xml:space="preserve">Zuweisungen an Fachschaften  </t>
  </si>
  <si>
    <t>81 01</t>
  </si>
  <si>
    <t>Anglistik</t>
  </si>
  <si>
    <t>81 02</t>
  </si>
  <si>
    <t>Antike Kultur und Klassische Philologie</t>
  </si>
  <si>
    <t>81 03</t>
  </si>
  <si>
    <t>BWL und VWL</t>
  </si>
  <si>
    <t>81 04</t>
  </si>
  <si>
    <t>Biochemie</t>
  </si>
  <si>
    <t>81 05</t>
  </si>
  <si>
    <t>Biologie</t>
  </si>
  <si>
    <t>81 06</t>
  </si>
  <si>
    <t>Chemie</t>
  </si>
  <si>
    <t>81 07</t>
  </si>
  <si>
    <t>Germanistik</t>
  </si>
  <si>
    <t>81 08</t>
  </si>
  <si>
    <t>Geschichte</t>
  </si>
  <si>
    <t>81 09</t>
  </si>
  <si>
    <t>Informatik</t>
  </si>
  <si>
    <t>81 10</t>
  </si>
  <si>
    <t>Informationswissenschaft</t>
  </si>
  <si>
    <t>81 11</t>
  </si>
  <si>
    <t>Jüdische Studien und Jiddistik</t>
  </si>
  <si>
    <t>81 12</t>
  </si>
  <si>
    <t>Jura</t>
  </si>
  <si>
    <t>81 13</t>
  </si>
  <si>
    <t>Kunstgeschichte</t>
  </si>
  <si>
    <t>81 14</t>
  </si>
  <si>
    <t>Linguistik</t>
  </si>
  <si>
    <t>81 15</t>
  </si>
  <si>
    <t>Literaturübersetzen und Las Americas</t>
  </si>
  <si>
    <t>81 16</t>
  </si>
  <si>
    <t>Mathematik</t>
  </si>
  <si>
    <t>81 17</t>
  </si>
  <si>
    <t>Medien- und Kulturwissenschaft</t>
  </si>
  <si>
    <t>81 18</t>
  </si>
  <si>
    <t>Medienwissenschaft</t>
  </si>
  <si>
    <t>81 19</t>
  </si>
  <si>
    <t>Medizin</t>
  </si>
  <si>
    <t>81 20</t>
  </si>
  <si>
    <t>Modernes Japan</t>
  </si>
  <si>
    <t>81 21</t>
  </si>
  <si>
    <t>Musikwissenschaft</t>
  </si>
  <si>
    <t>81 22</t>
  </si>
  <si>
    <t>Pharmazie</t>
  </si>
  <si>
    <t>81 23</t>
  </si>
  <si>
    <t>Philosophie</t>
  </si>
  <si>
    <t>81 24</t>
  </si>
  <si>
    <t>Physik und Medizinische Physik</t>
  </si>
  <si>
    <t>81 25</t>
  </si>
  <si>
    <t>Politikwissenschaft</t>
  </si>
  <si>
    <t>81 26</t>
  </si>
  <si>
    <t>Psychologie</t>
  </si>
  <si>
    <t>81 27</t>
  </si>
  <si>
    <t>Romanistik</t>
  </si>
  <si>
    <t>81 28</t>
  </si>
  <si>
    <t>Sozialwissenschaften und Soziologie</t>
  </si>
  <si>
    <t>81 29</t>
  </si>
  <si>
    <t>81 30</t>
  </si>
  <si>
    <t>Wirtschaftschemie</t>
  </si>
  <si>
    <t>81 31</t>
  </si>
  <si>
    <t>Zahnmedizin</t>
  </si>
  <si>
    <t>81 32</t>
  </si>
  <si>
    <t>82</t>
  </si>
  <si>
    <t>Zuweisungen an Referate des AStA</t>
  </si>
  <si>
    <t>82 01</t>
  </si>
  <si>
    <t>Frauenreferat</t>
  </si>
  <si>
    <t>82 02</t>
  </si>
  <si>
    <t>LesBi-Referat</t>
  </si>
  <si>
    <t>82 03</t>
  </si>
  <si>
    <t>82 04</t>
  </si>
  <si>
    <t>Referat für internationale Studierende</t>
  </si>
  <si>
    <t>82 05</t>
  </si>
  <si>
    <t>Fachschaftenreferat</t>
  </si>
  <si>
    <t>82 06</t>
  </si>
  <si>
    <t>Referat für Barrierefreiheit</t>
  </si>
  <si>
    <t>83</t>
  </si>
  <si>
    <t>Zuweisungen an das Studierendenparlament</t>
  </si>
  <si>
    <t>83 01</t>
  </si>
  <si>
    <t>SP-Projektunterstützung</t>
  </si>
  <si>
    <t>83 02</t>
  </si>
  <si>
    <t>Wahlen und Urabstimmungen</t>
  </si>
  <si>
    <t>9</t>
  </si>
  <si>
    <t>Zuwendungen an Organe außerhalb der Studierendenschaft</t>
  </si>
  <si>
    <t>91</t>
  </si>
  <si>
    <t>Zuwendungen an inneruniversitäre Vereinigungen</t>
  </si>
  <si>
    <t>91 01</t>
  </si>
  <si>
    <t>Universitätsorchester</t>
  </si>
  <si>
    <t>91 02</t>
  </si>
  <si>
    <t>Studierendenchor</t>
  </si>
  <si>
    <t>91 03</t>
  </si>
  <si>
    <t>Andere inneruniversitäre Vereinigungen</t>
  </si>
  <si>
    <t>99</t>
  </si>
  <si>
    <t>Sonstiges</t>
  </si>
  <si>
    <t>99 01</t>
  </si>
  <si>
    <t>Gesamt:</t>
  </si>
  <si>
    <t>Umsatzsteuer 19%</t>
  </si>
  <si>
    <t>Umsatzsteuer 7%</t>
  </si>
  <si>
    <t>Körperschaftssteuer</t>
  </si>
  <si>
    <t>14 05</t>
  </si>
  <si>
    <t>14 06</t>
  </si>
  <si>
    <t>Steuern und Gebühren</t>
  </si>
  <si>
    <t>Unterhaushalt Semesterticket</t>
  </si>
  <si>
    <t>3</t>
  </si>
  <si>
    <t>Semesterticket</t>
  </si>
  <si>
    <t>30</t>
  </si>
  <si>
    <t>Überschuss Semesterticket</t>
  </si>
  <si>
    <t>30 01</t>
  </si>
  <si>
    <t>31</t>
  </si>
  <si>
    <t>31 01</t>
  </si>
  <si>
    <t>Rückstellungen VRR-Ticket</t>
  </si>
  <si>
    <t>31 02</t>
  </si>
  <si>
    <t>Rückstellungen NRW-Ticket</t>
  </si>
  <si>
    <t>31 03</t>
  </si>
  <si>
    <t>Einnahmen/Ausgaben VRR-Ticket</t>
  </si>
  <si>
    <t>31 04</t>
  </si>
  <si>
    <t>Einnahmen/Ausgaben NRW-Ticket</t>
  </si>
  <si>
    <t>31 05</t>
  </si>
  <si>
    <t>Erstattungen</t>
  </si>
  <si>
    <t>32</t>
  </si>
  <si>
    <t>32 01</t>
  </si>
  <si>
    <t>32 02</t>
  </si>
  <si>
    <t>32 03</t>
  </si>
  <si>
    <t>32 04</t>
  </si>
  <si>
    <t>32 05</t>
  </si>
  <si>
    <t>33</t>
  </si>
  <si>
    <t>33 01</t>
  </si>
  <si>
    <t>Vorauszahlungen VRR-Ticket</t>
  </si>
  <si>
    <t>33 02</t>
  </si>
  <si>
    <t>Vorauszahlungen NRW-Ticket</t>
  </si>
  <si>
    <t>HHJ 07/08</t>
  </si>
  <si>
    <t>HHJ 08/09</t>
  </si>
  <si>
    <t>HHJ 09/10</t>
  </si>
  <si>
    <t>HHJ 10/11</t>
  </si>
  <si>
    <t>HHJ 11/12</t>
  </si>
  <si>
    <t>HHJ 12/13</t>
  </si>
  <si>
    <t>HHJ 13/14</t>
  </si>
  <si>
    <t>HHJ 14/15</t>
  </si>
  <si>
    <t>Girokonto AStA</t>
  </si>
  <si>
    <t>Girokonto Fachschaften</t>
  </si>
  <si>
    <t>Barkasse AStA</t>
  </si>
  <si>
    <t>Girokonto Semesterticket</t>
  </si>
  <si>
    <t>Barkasse Kultur</t>
  </si>
  <si>
    <t>Girokonto Sozialfonds</t>
  </si>
  <si>
    <t>n.b.</t>
  </si>
  <si>
    <t>Summe</t>
  </si>
  <si>
    <t>Studierendenbeiträge</t>
  </si>
  <si>
    <t>Sozialfonds</t>
  </si>
  <si>
    <t>Sozialzuschlag Semesterticket</t>
  </si>
  <si>
    <t>Gesamt</t>
  </si>
  <si>
    <t>Fachschaftsgelder</t>
  </si>
  <si>
    <t xml:space="preserve"> ./. Ausstehende Semesterticketrechnungen</t>
  </si>
  <si>
    <t xml:space="preserve"> - </t>
  </si>
  <si>
    <t xml:space="preserve"> + Zuführung zur Betriebsmittelrücklage</t>
  </si>
  <si>
    <t xml:space="preserve"> + Restzahlung Sozialbeitrag SoSe verg. HHJ</t>
  </si>
  <si>
    <t>Bereinigter Überschuss</t>
  </si>
  <si>
    <t xml:space="preserve"> +  Mehrzahlungen an Rhb.</t>
  </si>
  <si>
    <t>Betriebsmittelrücklage AStA</t>
  </si>
  <si>
    <t>Tagesgeldkonto Sozialfonds</t>
  </si>
  <si>
    <t>Restdarlehen Hochschulradio</t>
  </si>
  <si>
    <t>fraglich</t>
  </si>
  <si>
    <t>ca. 19.300,00 €</t>
  </si>
  <si>
    <t>53 04</t>
  </si>
  <si>
    <t>Organisation</t>
  </si>
  <si>
    <t>Sommerkult</t>
  </si>
  <si>
    <t>57 06</t>
  </si>
  <si>
    <t>Sonstige Veranstaltungen</t>
  </si>
  <si>
    <t>Gesetzliche soz. Aufwendungen</t>
  </si>
  <si>
    <t>Steuern und Kindergeld</t>
  </si>
  <si>
    <t>Reise- &amp; Tagungs- und Fortbildungskosten</t>
  </si>
  <si>
    <t>Inphima-Gemeinschaftskasse</t>
  </si>
  <si>
    <t>HHJ 15/16</t>
  </si>
  <si>
    <t>Rücklage SP-Saal+Inventar</t>
  </si>
  <si>
    <t>Toxikologie</t>
  </si>
  <si>
    <t>56 03</t>
  </si>
  <si>
    <t>Campuskino</t>
  </si>
  <si>
    <t>73 03</t>
  </si>
  <si>
    <t>IT-Support</t>
  </si>
  <si>
    <t>56 04</t>
  </si>
  <si>
    <t>Brunch</t>
  </si>
  <si>
    <t>Umsatzsteuer Finanzamt</t>
  </si>
  <si>
    <t>Technik-Nutzungsgebühren</t>
  </si>
  <si>
    <t>HHJ 16/17</t>
  </si>
  <si>
    <t>77 05</t>
  </si>
  <si>
    <t>Datenschutz</t>
  </si>
  <si>
    <t>82 07</t>
  </si>
  <si>
    <t>56 05</t>
  </si>
  <si>
    <t>Campus-CSD</t>
  </si>
  <si>
    <t>Vermögensübersicht der Studierendenschaft der Heinrich-Heine-Universität Düsseldorf zum 30.09.2018</t>
  </si>
  <si>
    <t>HHJ 17/18</t>
  </si>
  <si>
    <t>Termingelder AStA+FS *</t>
  </si>
  <si>
    <t>Termingelder Semesterticket **</t>
  </si>
  <si>
    <t>Studierendenbeiträge Radio+Sport ***</t>
  </si>
  <si>
    <t>* bis einschließlich HHJ 16/17 Tagesgeldkonto AStA</t>
  </si>
  <si>
    <t>** bis einschließlich HHJ 16/17 Tagesgeldkonto Semticket</t>
  </si>
  <si>
    <t>*** bis einschließlich HHJ 15/16 nur Studierendenbeiträge Hochschulradio</t>
  </si>
  <si>
    <t>Campuskino Einnahmen</t>
  </si>
  <si>
    <t>59</t>
  </si>
  <si>
    <t>Technik-Nutzung</t>
  </si>
  <si>
    <t>59 01</t>
  </si>
  <si>
    <t>Technik-Nutzungsentgelte</t>
  </si>
  <si>
    <t>Einnahmen VRR-Ticket</t>
  </si>
  <si>
    <t>Ausgaben VRR-Ticket</t>
  </si>
  <si>
    <t>Einnahmen NRW-Ticket</t>
  </si>
  <si>
    <t>Ausgaben NRW-Ticket</t>
  </si>
  <si>
    <t>27</t>
  </si>
  <si>
    <t>Nextbike</t>
  </si>
  <si>
    <t>27 01</t>
  </si>
  <si>
    <t>27 02</t>
  </si>
  <si>
    <t>27 03</t>
  </si>
  <si>
    <t>27 04</t>
  </si>
  <si>
    <t>34</t>
  </si>
  <si>
    <t>34 01</t>
  </si>
  <si>
    <t>34 02</t>
  </si>
  <si>
    <t>33 03</t>
  </si>
  <si>
    <t>33 04</t>
  </si>
  <si>
    <t>33 05</t>
  </si>
  <si>
    <t>Titel (alt)</t>
  </si>
  <si>
    <t>Titel (neu)</t>
  </si>
  <si>
    <t>297000</t>
  </si>
  <si>
    <t>731000</t>
  </si>
  <si>
    <t>382000</t>
  </si>
  <si>
    <t>483501</t>
  </si>
  <si>
    <t>483600</t>
  </si>
  <si>
    <t>307000</t>
  </si>
  <si>
    <t>307010</t>
  </si>
  <si>
    <t>390001</t>
  </si>
  <si>
    <t>400010</t>
  </si>
  <si>
    <t>400020</t>
  </si>
  <si>
    <t>400030</t>
  </si>
  <si>
    <t>390000</t>
  </si>
  <si>
    <t>SS aktuelles HHJ Einnahmen</t>
  </si>
  <si>
    <t>SS aktuelles HHJ Ausgaben</t>
  </si>
  <si>
    <t>Rückstellungen Einnahmen</t>
  </si>
  <si>
    <t>Rückstellungen Ausgaben</t>
  </si>
  <si>
    <t>391000</t>
  </si>
  <si>
    <t>191000</t>
  </si>
  <si>
    <t>401010</t>
  </si>
  <si>
    <t>630310</t>
  </si>
  <si>
    <t>401020</t>
  </si>
  <si>
    <t>630320</t>
  </si>
  <si>
    <t>401030</t>
  </si>
  <si>
    <t>630330</t>
  </si>
  <si>
    <t>391001</t>
  </si>
  <si>
    <t>Vorauszahlungen Einnahmen</t>
  </si>
  <si>
    <t>Vorauszahlungen Ausgaben</t>
  </si>
  <si>
    <t>191001</t>
  </si>
  <si>
    <t>392000</t>
  </si>
  <si>
    <t>192000</t>
  </si>
  <si>
    <t>402010</t>
  </si>
  <si>
    <t>630410</t>
  </si>
  <si>
    <t>402020</t>
  </si>
  <si>
    <t>630420</t>
  </si>
  <si>
    <t>402030</t>
  </si>
  <si>
    <t>630430</t>
  </si>
  <si>
    <t>392001</t>
  </si>
  <si>
    <t>192001</t>
  </si>
  <si>
    <t>390002</t>
  </si>
  <si>
    <t>409010</t>
  </si>
  <si>
    <t>409020</t>
  </si>
  <si>
    <t>399001</t>
  </si>
  <si>
    <t>350001</t>
  </si>
  <si>
    <t>393001</t>
  </si>
  <si>
    <t>403010</t>
  </si>
  <si>
    <t>630510</t>
  </si>
  <si>
    <t>403020</t>
  </si>
  <si>
    <t>630520</t>
  </si>
  <si>
    <t>403030</t>
  </si>
  <si>
    <t>630530</t>
  </si>
  <si>
    <t>307011</t>
  </si>
  <si>
    <t>404010</t>
  </si>
  <si>
    <t>630610</t>
  </si>
  <si>
    <t>404020</t>
  </si>
  <si>
    <t>630620</t>
  </si>
  <si>
    <t>404030</t>
  </si>
  <si>
    <t>630630</t>
  </si>
  <si>
    <t>394000</t>
  </si>
  <si>
    <t>393000</t>
  </si>
  <si>
    <t>405010</t>
  </si>
  <si>
    <t>630710</t>
  </si>
  <si>
    <t>405020</t>
  </si>
  <si>
    <t>630720</t>
  </si>
  <si>
    <t>405030</t>
  </si>
  <si>
    <t>630730</t>
  </si>
  <si>
    <t>193001</t>
  </si>
  <si>
    <t>130010</t>
  </si>
  <si>
    <t>682502</t>
  </si>
  <si>
    <t>Gerichts- &amp; Rechtsanwaltskosten</t>
  </si>
  <si>
    <t>630370</t>
  </si>
  <si>
    <t>630380</t>
  </si>
  <si>
    <t>411000</t>
  </si>
  <si>
    <t>630325</t>
  </si>
  <si>
    <t>630025</t>
  </si>
  <si>
    <t>630425</t>
  </si>
  <si>
    <t>630050</t>
  </si>
  <si>
    <t>420050</t>
  </si>
  <si>
    <t>520050</t>
  </si>
  <si>
    <t>Brunch Einnahmen</t>
  </si>
  <si>
    <t>Brunch Ausgaben</t>
  </si>
  <si>
    <t>520060</t>
  </si>
  <si>
    <t>420060</t>
  </si>
  <si>
    <t>685001</t>
  </si>
  <si>
    <t>Campuskino Ausgaben</t>
  </si>
  <si>
    <t>483520</t>
  </si>
  <si>
    <t>Sommerkult Einnahmen</t>
  </si>
  <si>
    <t>Sommerkult Ausgaben</t>
  </si>
  <si>
    <t>Sonstige Veranstaltungen Einnahmen</t>
  </si>
  <si>
    <t>Sonstige Veranstaltungen Ausgaben</t>
  </si>
  <si>
    <t>420040</t>
  </si>
  <si>
    <t>520040</t>
  </si>
  <si>
    <t>Material für Fahrradwerkstatt Einnahmen</t>
  </si>
  <si>
    <t>Material für Fahrradwerkstatt Ausgaben</t>
  </si>
  <si>
    <t>440031</t>
  </si>
  <si>
    <t>520031</t>
  </si>
  <si>
    <t>600000</t>
  </si>
  <si>
    <t>603500</t>
  </si>
  <si>
    <t>608000</t>
  </si>
  <si>
    <t>603900</t>
  </si>
  <si>
    <t>681500</t>
  </si>
  <si>
    <t>681520</t>
  </si>
  <si>
    <t>683000</t>
  </si>
  <si>
    <t>682000</t>
  </si>
  <si>
    <t>682500</t>
  </si>
  <si>
    <t>680500</t>
  </si>
  <si>
    <t>680000</t>
  </si>
  <si>
    <t>646000</t>
  </si>
  <si>
    <t>664300</t>
  </si>
  <si>
    <t>682700</t>
  </si>
  <si>
    <t>640000</t>
  </si>
  <si>
    <t>643030</t>
  </si>
  <si>
    <t>642000</t>
  </si>
  <si>
    <t>630054</t>
  </si>
  <si>
    <t>630055</t>
  </si>
  <si>
    <t>665000</t>
  </si>
  <si>
    <t>630051</t>
  </si>
  <si>
    <t>483500</t>
  </si>
  <si>
    <t>307012</t>
  </si>
  <si>
    <t>307013</t>
  </si>
  <si>
    <t>630810</t>
  </si>
  <si>
    <t>307014</t>
  </si>
  <si>
    <t>307015</t>
  </si>
  <si>
    <t>405120</t>
  </si>
  <si>
    <t>630820</t>
  </si>
  <si>
    <t>405121</t>
  </si>
  <si>
    <t>307016</t>
  </si>
  <si>
    <t>307017</t>
  </si>
  <si>
    <t>394001</t>
  </si>
  <si>
    <t>394002</t>
  </si>
  <si>
    <t>685002</t>
  </si>
  <si>
    <t>685003</t>
  </si>
  <si>
    <t>685004</t>
  </si>
  <si>
    <t>643001</t>
  </si>
  <si>
    <t>483210</t>
  </si>
  <si>
    <t>663000</t>
  </si>
  <si>
    <t>297020</t>
  </si>
  <si>
    <t>380600</t>
  </si>
  <si>
    <t>140600</t>
  </si>
  <si>
    <t>380100</t>
  </si>
  <si>
    <t>140100</t>
  </si>
  <si>
    <t>Zuweisungen an Fachschaften / Kostenstellen in der Buchhaltung</t>
  </si>
  <si>
    <t>Zuweisungen an Referate des AStA / Kostenstellen in der Buchhaltung</t>
  </si>
  <si>
    <t>81 33</t>
  </si>
  <si>
    <t>81 34</t>
  </si>
  <si>
    <t>81 35</t>
  </si>
  <si>
    <t>HHJ 18/19</t>
  </si>
  <si>
    <t>zum Haushalt der Studierendenschaft der Heinrich-Heine-Universität für das Haushaltsjahr 2018/2019</t>
  </si>
  <si>
    <t>1. NHH 18/19</t>
  </si>
  <si>
    <t>Ansatz 18/19</t>
  </si>
  <si>
    <t>BiSchwu-Referat</t>
  </si>
  <si>
    <t>Tinby-Referat</t>
  </si>
  <si>
    <t>Vermögensübersicht der Studierendenschaft der Heinrich-Heine-Universität Düsseldorf zum 30.09.2019</t>
  </si>
  <si>
    <t>649500</t>
  </si>
  <si>
    <t>Rumpf 2019</t>
  </si>
  <si>
    <t xml:space="preserve"> ./. Ausstehende Semesterticketrechnungen des vorh. HHJ</t>
  </si>
  <si>
    <t>./. noch zu leistende Zahlungen aus Semtick Beiträgen
des aktuellen HHJ</t>
  </si>
  <si>
    <t>Umsatzsteuer 19% / 16 %</t>
  </si>
  <si>
    <t>Vorsteuer 19% / 16%</t>
  </si>
  <si>
    <t>Umsatzsteuer 7% / 5%</t>
  </si>
  <si>
    <t>Vorsteuer 7% / 5%</t>
  </si>
  <si>
    <t>297010</t>
  </si>
  <si>
    <t>Überschuss des Vorjahres Fachschaften</t>
  </si>
  <si>
    <t>297800</t>
  </si>
  <si>
    <t>Verlustvortrag vor Verwendung</t>
  </si>
  <si>
    <t>Zinsausgaben</t>
  </si>
  <si>
    <t>685500</t>
  </si>
  <si>
    <t>Zinserträge</t>
  </si>
  <si>
    <t>Betriebsmittelrücklage Einstellung</t>
  </si>
  <si>
    <t>777510</t>
  </si>
  <si>
    <t>Betriebsmittelrücklage Entnahme</t>
  </si>
  <si>
    <t>774510</t>
  </si>
  <si>
    <t>Rücklage Sozialfonds Einstellung</t>
  </si>
  <si>
    <t>777520</t>
  </si>
  <si>
    <t>Rücklage Sozialfonds Entnahme</t>
  </si>
  <si>
    <t>774530</t>
  </si>
  <si>
    <t>Rücklage Inventar Einstellung</t>
  </si>
  <si>
    <t>Rücklage Inventar Entnahme</t>
  </si>
  <si>
    <t>777530</t>
  </si>
  <si>
    <t>774520</t>
  </si>
  <si>
    <t>Vorsteuer Finanzamt</t>
  </si>
  <si>
    <t>643002</t>
  </si>
  <si>
    <t>Allgemeine Gebühren</t>
  </si>
  <si>
    <t>WS aktuelles HHJ Einnahmen</t>
  </si>
  <si>
    <t>WS aktuelles HHJ Ausgaben</t>
  </si>
  <si>
    <t>WS folgendes HHJ Einnahmen</t>
  </si>
  <si>
    <t>WS folgendes HHJ Ausgaben</t>
  </si>
  <si>
    <t>Rückstellung Ausgaben</t>
  </si>
  <si>
    <t>630540</t>
  </si>
  <si>
    <t>190012</t>
  </si>
  <si>
    <t>405011</t>
  </si>
  <si>
    <t>630711</t>
  </si>
  <si>
    <t>405021</t>
  </si>
  <si>
    <t>630721</t>
  </si>
  <si>
    <t>405031</t>
  </si>
  <si>
    <t>630731</t>
  </si>
  <si>
    <t>Sozialdarlehen Einnahme</t>
  </si>
  <si>
    <t>Sozialdarlehen Ausgabe</t>
  </si>
  <si>
    <t>Betreibung Sozialdarlehen Einnahmen</t>
  </si>
  <si>
    <t>682501</t>
  </si>
  <si>
    <t>Rechtsberatung Einnahmen</t>
  </si>
  <si>
    <t>Rechtsberatung Ausgaben</t>
  </si>
  <si>
    <t>405201</t>
  </si>
  <si>
    <t>Sozialberatung Einnahmen</t>
  </si>
  <si>
    <t>Sozialberatung Ausgaben</t>
  </si>
  <si>
    <t>405301</t>
  </si>
  <si>
    <t>Teilnahmegebühren SoSe</t>
  </si>
  <si>
    <t>Teilnahmegebühren WiSe</t>
  </si>
  <si>
    <t>411010</t>
  </si>
  <si>
    <t>Rückzahlung Teilnahmegebühren SoSe</t>
  </si>
  <si>
    <t>Rückzahlung Teilnahmegebühren WiSe</t>
  </si>
  <si>
    <t>411021</t>
  </si>
  <si>
    <t>411001</t>
  </si>
  <si>
    <t>Lehrkrafthonorare SoSe</t>
  </si>
  <si>
    <t>Lehrkrafthonorare WiSe</t>
  </si>
  <si>
    <t>630326</t>
  </si>
  <si>
    <t>Sonstige Veranstaltungen &amp; Initiativen Einnahmen</t>
  </si>
  <si>
    <t>Sonstige Veranstaltungen &amp; Initiativen Ausgaben</t>
  </si>
  <si>
    <t>483605</t>
  </si>
  <si>
    <t>ESAG Einnahmen</t>
  </si>
  <si>
    <t>ESAG Ausgaben</t>
  </si>
  <si>
    <t>420120</t>
  </si>
  <si>
    <t>520120</t>
  </si>
  <si>
    <t>420070</t>
  </si>
  <si>
    <t>Campus-CSD Einnahmen</t>
  </si>
  <si>
    <t>Campus-CSD Ausgaben</t>
  </si>
  <si>
    <t>520070</t>
  </si>
  <si>
    <t>420030</t>
  </si>
  <si>
    <t>520030</t>
  </si>
  <si>
    <t>483610</t>
  </si>
  <si>
    <t>Miete Technik 19%</t>
  </si>
  <si>
    <t>Abteilung 2 -6 Lohnsteuerfrei</t>
  </si>
  <si>
    <t>Abteilung 2-6 Minijob</t>
  </si>
  <si>
    <t>Aufmerksamkeiten an Mitarbeiter lstpfl</t>
  </si>
  <si>
    <t>Vermögenswirksame Leistungen</t>
  </si>
  <si>
    <t>600009</t>
  </si>
  <si>
    <t>606000</t>
  </si>
  <si>
    <t>611000</t>
  </si>
  <si>
    <t>AGG Krankenkasse</t>
  </si>
  <si>
    <t>VBLU</t>
  </si>
  <si>
    <t>KSK</t>
  </si>
  <si>
    <t>611001</t>
  </si>
  <si>
    <t>615000</t>
  </si>
  <si>
    <t>617001</t>
  </si>
  <si>
    <t>Ausstattungen und Geräte bis 150 Euro</t>
  </si>
  <si>
    <t>Ausstattungen und Geräte über 150 bis 800 Euro</t>
  </si>
  <si>
    <t>Ausstattungen und Geräte über 800 Euro</t>
  </si>
  <si>
    <t>630402</t>
  </si>
  <si>
    <t>67000</t>
  </si>
  <si>
    <t>50000</t>
  </si>
  <si>
    <t>Repräsentation Einnahme</t>
  </si>
  <si>
    <t>Repräsentation Ausgabe</t>
  </si>
  <si>
    <t>483000</t>
  </si>
  <si>
    <t>Aufmerksamkeiten an Referent*innen</t>
  </si>
  <si>
    <t>Anglistik Einnahmen</t>
  </si>
  <si>
    <t>Anglistik Ausgaben</t>
  </si>
  <si>
    <t>Antike Kultur und Klassische Philologie Einnahmen</t>
  </si>
  <si>
    <t>Antike Kultur und Klassische Philologie Ausgaben</t>
  </si>
  <si>
    <t>BWL und VWL Einnahmen</t>
  </si>
  <si>
    <t>BWL und VWL Ausgaben</t>
  </si>
  <si>
    <t>Biochemie Einnahmen</t>
  </si>
  <si>
    <t>Biochemie Ausgaben</t>
  </si>
  <si>
    <t>Biologie Einnahmen</t>
  </si>
  <si>
    <t>Biologie Ausgaben</t>
  </si>
  <si>
    <t>Chemie Einnahmen</t>
  </si>
  <si>
    <t>Chemie Ausgaben</t>
  </si>
  <si>
    <t>Germanistik Einnahmen</t>
  </si>
  <si>
    <t>Germanistik Ausgaben</t>
  </si>
  <si>
    <t>499901</t>
  </si>
  <si>
    <t>699101</t>
  </si>
  <si>
    <t>499902</t>
  </si>
  <si>
    <t>499903</t>
  </si>
  <si>
    <t>699102</t>
  </si>
  <si>
    <t>699103</t>
  </si>
  <si>
    <t>499904</t>
  </si>
  <si>
    <t>499905</t>
  </si>
  <si>
    <t>699104</t>
  </si>
  <si>
    <t>699105</t>
  </si>
  <si>
    <t>499906</t>
  </si>
  <si>
    <t>699106</t>
  </si>
  <si>
    <t>499907</t>
  </si>
  <si>
    <t>699107</t>
  </si>
  <si>
    <t>499908</t>
  </si>
  <si>
    <t>699108</t>
  </si>
  <si>
    <t>499909</t>
  </si>
  <si>
    <t>699109</t>
  </si>
  <si>
    <t>499910</t>
  </si>
  <si>
    <t>699110</t>
  </si>
  <si>
    <t>499911</t>
  </si>
  <si>
    <t>699111</t>
  </si>
  <si>
    <t>499912</t>
  </si>
  <si>
    <t>699112</t>
  </si>
  <si>
    <t>499913</t>
  </si>
  <si>
    <t>699113</t>
  </si>
  <si>
    <t>499914</t>
  </si>
  <si>
    <t>699114</t>
  </si>
  <si>
    <t>499915</t>
  </si>
  <si>
    <t>699115</t>
  </si>
  <si>
    <t>499916</t>
  </si>
  <si>
    <t>699116</t>
  </si>
  <si>
    <t>499917</t>
  </si>
  <si>
    <t>699117</t>
  </si>
  <si>
    <t>499918</t>
  </si>
  <si>
    <t>699118</t>
  </si>
  <si>
    <t>499919</t>
  </si>
  <si>
    <t>699119</t>
  </si>
  <si>
    <t>499920</t>
  </si>
  <si>
    <t>699120</t>
  </si>
  <si>
    <t>499921</t>
  </si>
  <si>
    <t>699121</t>
  </si>
  <si>
    <t>499922</t>
  </si>
  <si>
    <t>699122</t>
  </si>
  <si>
    <t>499923</t>
  </si>
  <si>
    <t>699123</t>
  </si>
  <si>
    <t>499924</t>
  </si>
  <si>
    <t>699124</t>
  </si>
  <si>
    <t>499925</t>
  </si>
  <si>
    <t>699125</t>
  </si>
  <si>
    <t>499926</t>
  </si>
  <si>
    <t>699126</t>
  </si>
  <si>
    <t>499927</t>
  </si>
  <si>
    <t>699127</t>
  </si>
  <si>
    <t>499928</t>
  </si>
  <si>
    <t>699128</t>
  </si>
  <si>
    <t>499929</t>
  </si>
  <si>
    <t>699129</t>
  </si>
  <si>
    <t>499930</t>
  </si>
  <si>
    <t>699130</t>
  </si>
  <si>
    <t>499931</t>
  </si>
  <si>
    <t>699131</t>
  </si>
  <si>
    <t>499932</t>
  </si>
  <si>
    <t>699132</t>
  </si>
  <si>
    <t>499933</t>
  </si>
  <si>
    <t>699133</t>
  </si>
  <si>
    <t>499934</t>
  </si>
  <si>
    <t>699134</t>
  </si>
  <si>
    <t>499935</t>
  </si>
  <si>
    <t>699135</t>
  </si>
  <si>
    <t>Geschichte Einnahmen</t>
  </si>
  <si>
    <t>Geschichte Ausgaben</t>
  </si>
  <si>
    <t>Informatik Einnahmen</t>
  </si>
  <si>
    <t>Informatik Ausgaben</t>
  </si>
  <si>
    <t>Informationswissenschaft Einnahmen</t>
  </si>
  <si>
    <t>Informationswissenschaft Ausgaben</t>
  </si>
  <si>
    <t>Jüdische Studien und Jiddistik Einnahmen</t>
  </si>
  <si>
    <t>Jüdische Studien und Jiddistik Ausgaben</t>
  </si>
  <si>
    <t>Jura Einnahmen</t>
  </si>
  <si>
    <t>Jura Ausgaben</t>
  </si>
  <si>
    <t>Kunstgeschichte Einnahmen</t>
  </si>
  <si>
    <t>Kunstgeschichte Ausgaben</t>
  </si>
  <si>
    <t>Linguistik &amp; Computerlinguistik Einnahmen</t>
  </si>
  <si>
    <t>Linguistik &amp; Computerlinguistik Ausgaben</t>
  </si>
  <si>
    <t>Literaturübersetzen und Las Americas Einnahmen</t>
  </si>
  <si>
    <t>Literaturübersetzen und Las Americas Ausgaben</t>
  </si>
  <si>
    <t>Mathematik Einnahmen</t>
  </si>
  <si>
    <t>Mathematik Ausgaben</t>
  </si>
  <si>
    <t>Medien- und Kulturwissenschaft Einnahmen</t>
  </si>
  <si>
    <t>Medien- und Kulturwissenschaft Ausgaben</t>
  </si>
  <si>
    <t>Medienwissenschaft Einnahmen</t>
  </si>
  <si>
    <t>Medienwissenschaft Ausgaben</t>
  </si>
  <si>
    <t>Medizin Einnahmen</t>
  </si>
  <si>
    <t>Medizin Ausgaben</t>
  </si>
  <si>
    <t>Modernes Japan Einnahmen</t>
  </si>
  <si>
    <t>Modernes Japan Ausgaben</t>
  </si>
  <si>
    <t>Musikwissenschaft Einnahmen</t>
  </si>
  <si>
    <t>Musikwissenschaft Ausgaben</t>
  </si>
  <si>
    <t>Pharmazie Einnahmen</t>
  </si>
  <si>
    <t>Pharmazie Ausgaben</t>
  </si>
  <si>
    <t>Philosophie Einnahmen</t>
  </si>
  <si>
    <t>Philosophie Ausgaben</t>
  </si>
  <si>
    <t>Physik und Medizinische Physik Einnahmen</t>
  </si>
  <si>
    <t>Physik und Medizinische Physik Ausgaben</t>
  </si>
  <si>
    <t>Politikwissenschaft Einnahmen</t>
  </si>
  <si>
    <t>Politikwissenschaft Ausgaben</t>
  </si>
  <si>
    <t>Psychologie Einnahmen</t>
  </si>
  <si>
    <t>Psychologie Ausgaben</t>
  </si>
  <si>
    <t>Romanistik Einnahmen</t>
  </si>
  <si>
    <t>Romanistik Ausgaben</t>
  </si>
  <si>
    <t>Sozialwissenschaften und Soziologie Einnahmen</t>
  </si>
  <si>
    <t>Sozialwissenschaften und Soziologie Ausgaben</t>
  </si>
  <si>
    <t>Toxikologie Einnahmen</t>
  </si>
  <si>
    <t>Toxikologie Ausgaben</t>
  </si>
  <si>
    <t>Wirtschaftschemie Einnahmen</t>
  </si>
  <si>
    <t>Wirtschaftschemie Ausgaben</t>
  </si>
  <si>
    <t>Zahnmedizin Einnahmen</t>
  </si>
  <si>
    <t>Zahnmedizin Ausgaben</t>
  </si>
  <si>
    <t>Inphima-Gemeinschaftskasse Einnahmen</t>
  </si>
  <si>
    <t>Inphima-Gemeinschaftskasse Ausgaben</t>
  </si>
  <si>
    <t>Philosophy, Politics and Economics Einnahmen</t>
  </si>
  <si>
    <t>Philosophy, Politics and Economics Ausgaben</t>
  </si>
  <si>
    <t>Naturwissenschaften Einnahmen</t>
  </si>
  <si>
    <t>Naturwissenschaften Ausgaben</t>
  </si>
  <si>
    <t>Transkulturalität Einnahmen</t>
  </si>
  <si>
    <t>Transkulturalität Ausgaben</t>
  </si>
  <si>
    <t>Frauenreferat Einnahmen</t>
  </si>
  <si>
    <t>Frauenreferat Ausgaben</t>
  </si>
  <si>
    <t>LesBi-Referat Einnahmen</t>
  </si>
  <si>
    <t>LesBi-Referat Ausgaben</t>
  </si>
  <si>
    <t>Referat für bisexuelle und schwule Studierende Einnahmen</t>
  </si>
  <si>
    <t>Referat für bisexuelle und schwule Studierende Ausgaben</t>
  </si>
  <si>
    <t>IStRef Einnahmen</t>
  </si>
  <si>
    <t>IStRef Ausgaben</t>
  </si>
  <si>
    <t>Fachschaftenreferat Einnahmen</t>
  </si>
  <si>
    <t>Fachschaftenreferat Ausgaben</t>
  </si>
  <si>
    <t>Referat für Barrierefreiheit Einnahmen</t>
  </si>
  <si>
    <t>Referat für Barrierefreiheit Ausgaben</t>
  </si>
  <si>
    <t>Referat für trans, inter und nicht binäre Studierende Einnahmen</t>
  </si>
  <si>
    <t>Referat für trans, inter und nicht binäre Studierende Ausgaben</t>
  </si>
  <si>
    <t>499203</t>
  </si>
  <si>
    <t>699203</t>
  </si>
  <si>
    <t>499209</t>
  </si>
  <si>
    <t>699209</t>
  </si>
  <si>
    <t>499214</t>
  </si>
  <si>
    <t>699214</t>
  </si>
  <si>
    <t>499213</t>
  </si>
  <si>
    <t>699213</t>
  </si>
  <si>
    <t>499201</t>
  </si>
  <si>
    <t>699201</t>
  </si>
  <si>
    <t>499212</t>
  </si>
  <si>
    <t>699212</t>
  </si>
  <si>
    <t>499217</t>
  </si>
  <si>
    <t>699217</t>
  </si>
  <si>
    <t>Aufmerksamkeiten an Dritte</t>
  </si>
  <si>
    <t>664320</t>
  </si>
  <si>
    <t>Rückstellungen VRR-Ticket Einnahmen</t>
  </si>
  <si>
    <t>Rückstellungen VRR-Ticket Ausgaben</t>
  </si>
  <si>
    <t>Rückstellungen NRW-Ticket Ausgaben</t>
  </si>
  <si>
    <t>Rückstellungen NRW-Ticket Einnahmen</t>
  </si>
  <si>
    <t>Erstattungen Einnahmen</t>
  </si>
  <si>
    <t>190013</t>
  </si>
  <si>
    <t>190014</t>
  </si>
  <si>
    <t>190017</t>
  </si>
  <si>
    <t>190018</t>
  </si>
  <si>
    <t>405110</t>
  </si>
  <si>
    <t>405111</t>
  </si>
  <si>
    <t>405112</t>
  </si>
  <si>
    <t>190015</t>
  </si>
  <si>
    <t>190016</t>
  </si>
  <si>
    <t>Sonstige betriebliche Aufwendungen</t>
  </si>
  <si>
    <t>630000</t>
  </si>
  <si>
    <t>Sonstige betriebliche Erträge</t>
  </si>
  <si>
    <t>71 04</t>
  </si>
  <si>
    <t>sonstiger Geschäftsbedarf Einnahmen</t>
  </si>
  <si>
    <t>sonstiger Geschäftsbedarf Ausgaben</t>
  </si>
  <si>
    <t>449000</t>
  </si>
  <si>
    <t>529000</t>
  </si>
  <si>
    <t>Repräsentation &amp; Bewirtung</t>
  </si>
  <si>
    <t>75 03</t>
  </si>
  <si>
    <t>Bewirtung</t>
  </si>
  <si>
    <t>664000</t>
  </si>
  <si>
    <t>SP-Saal Vergabe</t>
  </si>
  <si>
    <t>54 02</t>
  </si>
  <si>
    <t>54 03</t>
  </si>
  <si>
    <t>54 04</t>
  </si>
  <si>
    <t>54 05</t>
  </si>
  <si>
    <t>Nutzungsüberlassung</t>
  </si>
  <si>
    <t>Kleinmöbelmiete</t>
  </si>
  <si>
    <t>355001</t>
  </si>
  <si>
    <t>410511</t>
  </si>
  <si>
    <t>410514</t>
  </si>
  <si>
    <t>410515</t>
  </si>
  <si>
    <t>410516</t>
  </si>
  <si>
    <t>Abrechnung 18/19</t>
  </si>
  <si>
    <t>WS folgendes HHJ</t>
  </si>
  <si>
    <t>711000</t>
  </si>
  <si>
    <t>Ansatz WS folg.</t>
  </si>
  <si>
    <t>Ansatz WS akt.</t>
  </si>
  <si>
    <t>Abrechnung Rumpf 2019</t>
  </si>
  <si>
    <t>Rumpfhaushalt 2019</t>
  </si>
  <si>
    <t xml:space="preserve">12 </t>
  </si>
  <si>
    <t>Zinsen und Gebühren</t>
  </si>
  <si>
    <t>Umsatzsteuer</t>
  </si>
  <si>
    <t>Vorsteuer</t>
  </si>
  <si>
    <t xml:space="preserve">16 01 </t>
  </si>
  <si>
    <t xml:space="preserve">16 02 </t>
  </si>
  <si>
    <t>Teilnahmegebühren</t>
  </si>
  <si>
    <t>Anschaffungen</t>
  </si>
  <si>
    <t xml:space="preserve">77 04 </t>
  </si>
  <si>
    <t>AStA &amp; Fachschaften</t>
  </si>
  <si>
    <t>zum Haushalt der Studierendenschaft der Heinrich-Heine-Universität für das Haushaltsjahr 2019 (Rumpfhaushalt)</t>
  </si>
  <si>
    <t>Abrechnung Rumpf 19</t>
  </si>
  <si>
    <t>Rumpfhaushalt 1.10.19-31.12.19_Abrechnung</t>
  </si>
  <si>
    <t>Abrechnung HHJ 18/19</t>
  </si>
  <si>
    <t>57 07</t>
  </si>
  <si>
    <t>HHJ 2020</t>
  </si>
  <si>
    <t>Vermögensübersicht der Studierendenschaft der Heinrich-Heine-Universität Düsseldorf zum 31.12.</t>
  </si>
  <si>
    <t>Ansatz 2022</t>
  </si>
  <si>
    <t>Haushalt 2022</t>
  </si>
  <si>
    <t>zum Haushalt der Studierendenschaft der Heinrich-Heine-Universität für das Haushaltsjahr 2022</t>
  </si>
  <si>
    <t>HHJ 2021</t>
  </si>
  <si>
    <t>1. NHH 2022</t>
  </si>
  <si>
    <t>1. NHH 2022_v3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</si>
</sst>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&quot; €&quot;"/>
    <numFmt numFmtId="165" formatCode="#,##0.00&quot; €&quot;;[Red]&quot;-&quot;#,##0.00&quot; €&quot;"/>
    <numFmt numFmtId="166" formatCode="#,##0.00;[Red]#,##0.00"/>
    <numFmt numFmtId="167" formatCode="#,##0.00&quot; &quot;[$€-407];[Red]&quot;-&quot;#,##0.00&quot; &quot;[$€-407]"/>
    <numFmt numFmtId="168" formatCode="#,##0.00\ &quot;€&quot;"/>
  </numFmts>
  <fonts count="38">
    <font>
      <sz val="11"/>
      <color theme="1"/>
      <name val="Calibri"/>
      <family val="2"/>
      <scheme val="minor"/>
    </font>
    <font>
      <sz val="11"/>
      <color rgb="FF000000"/>
      <name val="Verdana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trike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trike/>
      <sz val="11"/>
      <color rgb="FF000000"/>
      <name val="Calibri"/>
      <family val="2"/>
    </font>
    <font>
      <b/>
      <u/>
      <sz val="18"/>
      <color theme="1"/>
      <name val="Calibri"/>
      <family val="2"/>
      <scheme val="minor"/>
    </font>
    <font>
      <sz val="11"/>
      <color rgb="FF000000"/>
      <name val="Calibri1"/>
    </font>
    <font>
      <sz val="11"/>
      <color rgb="FFFFFFFF"/>
      <name val="Calibri1"/>
    </font>
    <font>
      <b/>
      <sz val="11"/>
      <color rgb="FF333333"/>
      <name val="Calibri1"/>
    </font>
    <font>
      <b/>
      <sz val="11"/>
      <color rgb="FFFF9900"/>
      <name val="Calibri1"/>
    </font>
    <font>
      <sz val="11"/>
      <color rgb="FF333399"/>
      <name val="Calibri1"/>
    </font>
    <font>
      <b/>
      <sz val="11"/>
      <color rgb="FF000000"/>
      <name val="Calibri1"/>
    </font>
    <font>
      <i/>
      <sz val="11"/>
      <color rgb="FF808080"/>
      <name val="Calibri1"/>
    </font>
    <font>
      <sz val="11"/>
      <color rgb="FF008000"/>
      <name val="Calibri1"/>
    </font>
    <font>
      <b/>
      <i/>
      <sz val="16"/>
      <color rgb="FF000000"/>
      <name val="Verdana"/>
      <family val="2"/>
    </font>
    <font>
      <b/>
      <i/>
      <sz val="16"/>
      <color rgb="FF000000"/>
      <name val="Calibri1"/>
    </font>
    <font>
      <sz val="11"/>
      <color rgb="FF993300"/>
      <name val="Calibri1"/>
    </font>
    <font>
      <b/>
      <i/>
      <u/>
      <sz val="11"/>
      <color rgb="FF000000"/>
      <name val="Verdana"/>
      <family val="2"/>
    </font>
    <font>
      <b/>
      <i/>
      <u/>
      <sz val="11"/>
      <color rgb="FF000000"/>
      <name val="Calibri1"/>
    </font>
    <font>
      <sz val="11"/>
      <color rgb="FF800080"/>
      <name val="Calibri1"/>
    </font>
    <font>
      <b/>
      <sz val="15"/>
      <color rgb="FF003366"/>
      <name val="Calibri1"/>
    </font>
    <font>
      <b/>
      <sz val="13"/>
      <color rgb="FF003366"/>
      <name val="Calibri1"/>
    </font>
    <font>
      <b/>
      <sz val="11"/>
      <color rgb="FF003366"/>
      <name val="Calibri1"/>
    </font>
    <font>
      <b/>
      <sz val="18"/>
      <color rgb="FF003366"/>
      <name val="Cambria"/>
      <family val="1"/>
    </font>
    <font>
      <sz val="11"/>
      <color rgb="FFFF9900"/>
      <name val="Calibri1"/>
    </font>
    <font>
      <sz val="11"/>
      <color rgb="FFFF0000"/>
      <name val="Calibri1"/>
    </font>
    <font>
      <b/>
      <sz val="11"/>
      <color rgb="FFFFFFFF"/>
      <name val="Calibri1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69696"/>
        <bgColor rgb="FF969696"/>
      </patternFill>
    </fill>
    <fill>
      <patternFill patternType="solid">
        <fgColor rgb="FF999999"/>
        <bgColor rgb="FF999999"/>
      </patternFill>
    </fill>
    <fill>
      <patternFill patternType="solid">
        <fgColor rgb="FFC0C0C0"/>
        <bgColor rgb="FFC0C0C0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indexed="64"/>
      </patternFill>
    </fill>
    <fill>
      <patternFill patternType="solid">
        <fgColor rgb="FFB3B3B3"/>
        <bgColor rgb="FFB3B3B3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theme="0" tint="-0.499984740745262"/>
      </patternFill>
    </fill>
    <fill>
      <patternFill patternType="solid">
        <fgColor theme="0" tint="-0.34998626667073579"/>
        <bgColor rgb="FFCCCCCC"/>
      </patternFill>
    </fill>
    <fill>
      <patternFill patternType="solid">
        <fgColor theme="0" tint="-0.34998626667073579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53">
    <xf numFmtId="0" fontId="0" fillId="0" borderId="0"/>
    <xf numFmtId="0" fontId="1" fillId="0" borderId="0"/>
    <xf numFmtId="0" fontId="13" fillId="9" borderId="0"/>
    <xf numFmtId="0" fontId="13" fillId="10" borderId="0"/>
    <xf numFmtId="0" fontId="13" fillId="11" borderId="0"/>
    <xf numFmtId="0" fontId="13" fillId="12" borderId="0"/>
    <xf numFmtId="0" fontId="13" fillId="13" borderId="0"/>
    <xf numFmtId="0" fontId="13" fillId="14" borderId="0"/>
    <xf numFmtId="0" fontId="13" fillId="15" borderId="0"/>
    <xf numFmtId="0" fontId="13" fillId="16" borderId="0"/>
    <xf numFmtId="0" fontId="13" fillId="17" borderId="0"/>
    <xf numFmtId="0" fontId="13" fillId="12" borderId="0"/>
    <xf numFmtId="0" fontId="13" fillId="15" borderId="0"/>
    <xf numFmtId="0" fontId="13" fillId="18" borderId="0"/>
    <xf numFmtId="0" fontId="14" fillId="19" borderId="0"/>
    <xf numFmtId="0" fontId="14" fillId="16" borderId="0"/>
    <xf numFmtId="0" fontId="14" fillId="17" borderId="0"/>
    <xf numFmtId="0" fontId="14" fillId="20" borderId="0"/>
    <xf numFmtId="0" fontId="14" fillId="21" borderId="0"/>
    <xf numFmtId="0" fontId="14" fillId="22" borderId="0"/>
    <xf numFmtId="0" fontId="14" fillId="23" borderId="0"/>
    <xf numFmtId="0" fontId="14" fillId="24" borderId="0"/>
    <xf numFmtId="0" fontId="14" fillId="25" borderId="0"/>
    <xf numFmtId="0" fontId="14" fillId="20" borderId="0"/>
    <xf numFmtId="0" fontId="14" fillId="21" borderId="0"/>
    <xf numFmtId="0" fontId="14" fillId="26" borderId="0"/>
    <xf numFmtId="0" fontId="15" fillId="5" borderId="14"/>
    <xf numFmtId="0" fontId="16" fillId="5" borderId="15"/>
    <xf numFmtId="0" fontId="17" fillId="14" borderId="15"/>
    <xf numFmtId="0" fontId="18" fillId="0" borderId="16"/>
    <xf numFmtId="0" fontId="18" fillId="0" borderId="16"/>
    <xf numFmtId="0" fontId="19" fillId="0" borderId="0"/>
    <xf numFmtId="0" fontId="20" fillId="11" borderId="0"/>
    <xf numFmtId="0" fontId="21" fillId="0" borderId="0">
      <alignment horizontal="center"/>
    </xf>
    <xf numFmtId="0" fontId="22" fillId="0" borderId="0">
      <alignment horizontal="center"/>
    </xf>
    <xf numFmtId="0" fontId="21" fillId="0" borderId="0">
      <alignment horizontal="center" textRotation="90"/>
    </xf>
    <xf numFmtId="0" fontId="22" fillId="0" borderId="0">
      <alignment horizontal="center" textRotation="90"/>
    </xf>
    <xf numFmtId="0" fontId="23" fillId="27" borderId="0"/>
    <xf numFmtId="0" fontId="1" fillId="28" borderId="17"/>
    <xf numFmtId="0" fontId="24" fillId="0" borderId="0"/>
    <xf numFmtId="0" fontId="25" fillId="0" borderId="0"/>
    <xf numFmtId="167" fontId="24" fillId="0" borderId="0"/>
    <xf numFmtId="167" fontId="25" fillId="0" borderId="0"/>
    <xf numFmtId="0" fontId="26" fillId="10" borderId="0"/>
    <xf numFmtId="0" fontId="27" fillId="0" borderId="18"/>
    <xf numFmtId="0" fontId="27" fillId="0" borderId="18"/>
    <xf numFmtId="0" fontId="28" fillId="0" borderId="19"/>
    <xf numFmtId="0" fontId="29" fillId="0" borderId="20"/>
    <xf numFmtId="0" fontId="29" fillId="0" borderId="0"/>
    <xf numFmtId="0" fontId="30" fillId="0" borderId="0"/>
    <xf numFmtId="0" fontId="31" fillId="0" borderId="21"/>
    <xf numFmtId="0" fontId="32" fillId="0" borderId="0"/>
    <xf numFmtId="0" fontId="33" fillId="3" borderId="22"/>
  </cellStyleXfs>
  <cellXfs count="177">
    <xf numFmtId="0" fontId="0" fillId="0" borderId="0" xfId="0"/>
    <xf numFmtId="49" fontId="2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1" fillId="0" borderId="0" xfId="1"/>
    <xf numFmtId="49" fontId="3" fillId="0" borderId="0" xfId="1" applyNumberFormat="1" applyFont="1" applyAlignment="1">
      <alignment vertical="center"/>
    </xf>
    <xf numFmtId="0" fontId="3" fillId="0" borderId="0" xfId="1" applyFont="1"/>
    <xf numFmtId="3" fontId="3" fillId="2" borderId="0" xfId="1" applyNumberFormat="1" applyFont="1" applyFill="1" applyAlignment="1">
      <alignment vertical="center"/>
    </xf>
    <xf numFmtId="49" fontId="3" fillId="0" borderId="0" xfId="1" applyNumberFormat="1" applyFont="1" applyFill="1" applyAlignment="1">
      <alignment horizontal="left" vertical="center"/>
    </xf>
    <xf numFmtId="49" fontId="4" fillId="3" borderId="4" xfId="1" applyNumberFormat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left" vertical="center"/>
    </xf>
    <xf numFmtId="49" fontId="4" fillId="4" borderId="4" xfId="1" applyNumberFormat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/>
    </xf>
    <xf numFmtId="0" fontId="4" fillId="3" borderId="1" xfId="1" applyFont="1" applyFill="1" applyBorder="1" applyAlignment="1">
      <alignment vertical="center"/>
    </xf>
    <xf numFmtId="164" fontId="5" fillId="3" borderId="6" xfId="1" applyNumberFormat="1" applyFont="1" applyFill="1" applyBorder="1" applyAlignment="1">
      <alignment vertical="center"/>
    </xf>
    <xf numFmtId="49" fontId="5" fillId="5" borderId="4" xfId="1" applyNumberFormat="1" applyFont="1" applyFill="1" applyBorder="1" applyAlignment="1">
      <alignment horizontal="left" vertical="center"/>
    </xf>
    <xf numFmtId="0" fontId="5" fillId="5" borderId="1" xfId="1" applyFont="1" applyFill="1" applyBorder="1"/>
    <xf numFmtId="165" fontId="5" fillId="6" borderId="6" xfId="1" applyNumberFormat="1" applyFont="1" applyFill="1" applyBorder="1"/>
    <xf numFmtId="165" fontId="5" fillId="6" borderId="7" xfId="1" applyNumberFormat="1" applyFont="1" applyFill="1" applyBorder="1"/>
    <xf numFmtId="49" fontId="3" fillId="0" borderId="4" xfId="1" applyNumberFormat="1" applyFont="1" applyFill="1" applyBorder="1" applyAlignment="1">
      <alignment horizontal="left" vertical="center"/>
    </xf>
    <xf numFmtId="0" fontId="3" fillId="0" borderId="1" xfId="1" applyFont="1" applyBorder="1"/>
    <xf numFmtId="165" fontId="3" fillId="0" borderId="7" xfId="1" applyNumberFormat="1" applyFont="1" applyBorder="1"/>
    <xf numFmtId="164" fontId="3" fillId="0" borderId="6" xfId="1" applyNumberFormat="1" applyFont="1" applyBorder="1"/>
    <xf numFmtId="49" fontId="5" fillId="5" borderId="4" xfId="1" applyNumberFormat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49" fontId="3" fillId="0" borderId="4" xfId="1" applyNumberFormat="1" applyFont="1" applyBorder="1"/>
    <xf numFmtId="164" fontId="3" fillId="0" borderId="6" xfId="1" applyNumberFormat="1" applyFont="1" applyFill="1" applyBorder="1"/>
    <xf numFmtId="49" fontId="5" fillId="5" borderId="4" xfId="1" applyNumberFormat="1" applyFont="1" applyFill="1" applyBorder="1"/>
    <xf numFmtId="49" fontId="3" fillId="0" borderId="8" xfId="1" applyNumberFormat="1" applyFont="1" applyBorder="1"/>
    <xf numFmtId="0" fontId="3" fillId="0" borderId="9" xfId="1" applyFont="1" applyBorder="1"/>
    <xf numFmtId="49" fontId="3" fillId="0" borderId="10" xfId="1" applyNumberFormat="1" applyFont="1" applyBorder="1"/>
    <xf numFmtId="0" fontId="3" fillId="0" borderId="11" xfId="1" applyFont="1" applyBorder="1"/>
    <xf numFmtId="49" fontId="4" fillId="3" borderId="4" xfId="1" applyNumberFormat="1" applyFont="1" applyFill="1" applyBorder="1"/>
    <xf numFmtId="0" fontId="4" fillId="3" borderId="1" xfId="1" applyFont="1" applyFill="1" applyBorder="1"/>
    <xf numFmtId="164" fontId="5" fillId="3" borderId="6" xfId="1" applyNumberFormat="1" applyFont="1" applyFill="1" applyBorder="1"/>
    <xf numFmtId="164" fontId="5" fillId="3" borderId="7" xfId="1" applyNumberFormat="1" applyFont="1" applyFill="1" applyBorder="1"/>
    <xf numFmtId="49" fontId="3" fillId="0" borderId="4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5" fontId="3" fillId="0" borderId="7" xfId="1" applyNumberFormat="1" applyFont="1" applyFill="1" applyBorder="1"/>
    <xf numFmtId="164" fontId="5" fillId="4" borderId="6" xfId="1" applyNumberFormat="1" applyFont="1" applyFill="1" applyBorder="1"/>
    <xf numFmtId="165" fontId="5" fillId="4" borderId="7" xfId="1" applyNumberFormat="1" applyFont="1" applyFill="1" applyBorder="1"/>
    <xf numFmtId="165" fontId="5" fillId="4" borderId="6" xfId="1" applyNumberFormat="1" applyFont="1" applyFill="1" applyBorder="1"/>
    <xf numFmtId="164" fontId="5" fillId="5" borderId="6" xfId="1" applyNumberFormat="1" applyFont="1" applyFill="1" applyBorder="1"/>
    <xf numFmtId="164" fontId="6" fillId="5" borderId="7" xfId="1" applyNumberFormat="1" applyFont="1" applyFill="1" applyBorder="1"/>
    <xf numFmtId="49" fontId="7" fillId="0" borderId="4" xfId="1" applyNumberFormat="1" applyFont="1" applyBorder="1"/>
    <xf numFmtId="0" fontId="7" fillId="0" borderId="1" xfId="1" applyFont="1" applyBorder="1"/>
    <xf numFmtId="164" fontId="7" fillId="0" borderId="6" xfId="1" applyNumberFormat="1" applyFont="1" applyBorder="1"/>
    <xf numFmtId="165" fontId="7" fillId="0" borderId="7" xfId="1" applyNumberFormat="1" applyFont="1" applyBorder="1"/>
    <xf numFmtId="164" fontId="8" fillId="5" borderId="7" xfId="1" applyNumberFormat="1" applyFont="1" applyFill="1" applyBorder="1"/>
    <xf numFmtId="164" fontId="8" fillId="3" borderId="7" xfId="1" applyNumberFormat="1" applyFont="1" applyFill="1" applyBorder="1"/>
    <xf numFmtId="49" fontId="5" fillId="5" borderId="8" xfId="1" applyNumberFormat="1" applyFont="1" applyFill="1" applyBorder="1"/>
    <xf numFmtId="0" fontId="5" fillId="5" borderId="9" xfId="1" applyFont="1" applyFill="1" applyBorder="1"/>
    <xf numFmtId="0" fontId="5" fillId="8" borderId="1" xfId="1" applyFont="1" applyFill="1" applyBorder="1"/>
    <xf numFmtId="0" fontId="3" fillId="0" borderId="1" xfId="1" applyFont="1" applyFill="1" applyBorder="1"/>
    <xf numFmtId="49" fontId="3" fillId="0" borderId="12" xfId="1" applyNumberFormat="1" applyFont="1" applyBorder="1"/>
    <xf numFmtId="0" fontId="3" fillId="0" borderId="13" xfId="1" applyFont="1" applyBorder="1"/>
    <xf numFmtId="165" fontId="3" fillId="0" borderId="1" xfId="1" applyNumberFormat="1" applyFont="1" applyBorder="1"/>
    <xf numFmtId="49" fontId="4" fillId="3" borderId="4" xfId="1" applyNumberFormat="1" applyFont="1" applyFill="1" applyBorder="1" applyAlignment="1">
      <alignment horizontal="left"/>
    </xf>
    <xf numFmtId="0" fontId="0" fillId="0" borderId="6" xfId="0" applyBorder="1"/>
    <xf numFmtId="165" fontId="3" fillId="6" borderId="4" xfId="1" applyNumberFormat="1" applyFont="1" applyFill="1" applyBorder="1"/>
    <xf numFmtId="165" fontId="3" fillId="6" borderId="1" xfId="1" applyNumberFormat="1" applyFont="1" applyFill="1" applyBorder="1"/>
    <xf numFmtId="165" fontId="3" fillId="6" borderId="6" xfId="1" applyNumberFormat="1" applyFont="1" applyFill="1" applyBorder="1"/>
    <xf numFmtId="166" fontId="0" fillId="0" borderId="0" xfId="0" applyNumberFormat="1"/>
    <xf numFmtId="0" fontId="0" fillId="0" borderId="0" xfId="0" applyFill="1"/>
    <xf numFmtId="49" fontId="11" fillId="5" borderId="4" xfId="1" applyNumberFormat="1" applyFont="1" applyFill="1" applyBorder="1"/>
    <xf numFmtId="0" fontId="11" fillId="5" borderId="1" xfId="1" applyFont="1" applyFill="1" applyBorder="1"/>
    <xf numFmtId="165" fontId="11" fillId="6" borderId="7" xfId="1" applyNumberFormat="1" applyFont="1" applyFill="1" applyBorder="1"/>
    <xf numFmtId="0" fontId="12" fillId="0" borderId="0" xfId="0" applyFont="1"/>
    <xf numFmtId="0" fontId="10" fillId="0" borderId="0" xfId="0" applyFont="1"/>
    <xf numFmtId="165" fontId="3" fillId="0" borderId="6" xfId="1" applyNumberFormat="1" applyFont="1" applyBorder="1"/>
    <xf numFmtId="0" fontId="10" fillId="0" borderId="0" xfId="0" applyFont="1" applyAlignment="1">
      <alignment horizontal="center"/>
    </xf>
    <xf numFmtId="0" fontId="0" fillId="29" borderId="0" xfId="0" applyFill="1"/>
    <xf numFmtId="168" fontId="0" fillId="29" borderId="0" xfId="0" applyNumberFormat="1" applyFill="1"/>
    <xf numFmtId="0" fontId="34" fillId="0" borderId="0" xfId="0" applyFont="1"/>
    <xf numFmtId="168" fontId="34" fillId="0" borderId="0" xfId="0" applyNumberFormat="1" applyFont="1"/>
    <xf numFmtId="168" fontId="0" fillId="0" borderId="0" xfId="0" applyNumberFormat="1"/>
    <xf numFmtId="168" fontId="10" fillId="0" borderId="0" xfId="0" applyNumberFormat="1" applyFont="1"/>
    <xf numFmtId="0" fontId="35" fillId="29" borderId="0" xfId="0" applyFont="1" applyFill="1"/>
    <xf numFmtId="168" fontId="35" fillId="29" borderId="0" xfId="0" applyNumberFormat="1" applyFont="1" applyFill="1"/>
    <xf numFmtId="0" fontId="10" fillId="29" borderId="0" xfId="0" applyFont="1" applyFill="1"/>
    <xf numFmtId="168" fontId="10" fillId="29" borderId="0" xfId="0" applyNumberFormat="1" applyFont="1" applyFill="1"/>
    <xf numFmtId="0" fontId="3" fillId="0" borderId="0" xfId="1" applyFont="1" applyFill="1"/>
    <xf numFmtId="0" fontId="0" fillId="0" borderId="0" xfId="0" applyFill="1" applyBorder="1"/>
    <xf numFmtId="164" fontId="9" fillId="0" borderId="6" xfId="1" applyNumberFormat="1" applyFont="1" applyFill="1" applyBorder="1"/>
    <xf numFmtId="0" fontId="0" fillId="0" borderId="0" xfId="0" applyFill="1" applyBorder="1" applyAlignment="1">
      <alignment horizontal="center"/>
    </xf>
    <xf numFmtId="164" fontId="11" fillId="5" borderId="6" xfId="1" applyNumberFormat="1" applyFont="1" applyFill="1" applyBorder="1"/>
    <xf numFmtId="3" fontId="3" fillId="7" borderId="0" xfId="1" applyNumberFormat="1" applyFont="1" applyFill="1"/>
    <xf numFmtId="164" fontId="5" fillId="31" borderId="6" xfId="1" applyNumberFormat="1" applyFont="1" applyFill="1" applyBorder="1"/>
    <xf numFmtId="165" fontId="5" fillId="32" borderId="7" xfId="1" applyNumberFormat="1" applyFont="1" applyFill="1" applyBorder="1"/>
    <xf numFmtId="164" fontId="5" fillId="33" borderId="6" xfId="1" applyNumberFormat="1" applyFont="1" applyFill="1" applyBorder="1"/>
    <xf numFmtId="0" fontId="0" fillId="30" borderId="0" xfId="0" applyFill="1"/>
    <xf numFmtId="0" fontId="0" fillId="0" borderId="0" xfId="0" applyBorder="1"/>
    <xf numFmtId="49" fontId="3" fillId="0" borderId="4" xfId="1" applyNumberFormat="1" applyFont="1" applyFill="1" applyBorder="1"/>
    <xf numFmtId="0" fontId="0" fillId="0" borderId="0" xfId="0" applyFont="1" applyFill="1"/>
    <xf numFmtId="3" fontId="3" fillId="7" borderId="0" xfId="1" applyNumberFormat="1" applyFont="1" applyFill="1" applyAlignment="1">
      <alignment vertical="center"/>
    </xf>
    <xf numFmtId="164" fontId="3" fillId="34" borderId="6" xfId="1" applyNumberFormat="1" applyFont="1" applyFill="1" applyBorder="1"/>
    <xf numFmtId="165" fontId="3" fillId="34" borderId="7" xfId="1" applyNumberFormat="1" applyFont="1" applyFill="1" applyBorder="1"/>
    <xf numFmtId="164" fontId="3" fillId="34" borderId="6" xfId="1" applyNumberFormat="1" applyFont="1" applyFill="1" applyBorder="1" applyAlignment="1">
      <alignment vertical="center"/>
    </xf>
    <xf numFmtId="165" fontId="3" fillId="34" borderId="6" xfId="1" applyNumberFormat="1" applyFont="1" applyFill="1" applyBorder="1"/>
    <xf numFmtId="0" fontId="5" fillId="35" borderId="1" xfId="1" applyFont="1" applyFill="1" applyBorder="1"/>
    <xf numFmtId="49" fontId="5" fillId="35" borderId="4" xfId="1" applyNumberFormat="1" applyFont="1" applyFill="1" applyBorder="1"/>
    <xf numFmtId="164" fontId="5" fillId="35" borderId="6" xfId="1" applyNumberFormat="1" applyFont="1" applyFill="1" applyBorder="1"/>
    <xf numFmtId="165" fontId="5" fillId="35" borderId="6" xfId="1" applyNumberFormat="1" applyFont="1" applyFill="1" applyBorder="1"/>
    <xf numFmtId="49" fontId="5" fillId="5" borderId="1" xfId="1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left" vertical="center"/>
    </xf>
    <xf numFmtId="49" fontId="5" fillId="5" borderId="1" xfId="1" applyNumberFormat="1" applyFont="1" applyFill="1" applyBorder="1" applyAlignment="1">
      <alignment vertical="center"/>
    </xf>
    <xf numFmtId="49" fontId="3" fillId="0" borderId="1" xfId="1" applyNumberFormat="1" applyFont="1" applyBorder="1"/>
    <xf numFmtId="49" fontId="5" fillId="5" borderId="1" xfId="1" applyNumberFormat="1" applyFont="1" applyFill="1" applyBorder="1"/>
    <xf numFmtId="49" fontId="3" fillId="0" borderId="1" xfId="1" applyNumberFormat="1" applyFont="1" applyFill="1" applyBorder="1"/>
    <xf numFmtId="49" fontId="3" fillId="0" borderId="9" xfId="1" applyNumberFormat="1" applyFont="1" applyBorder="1"/>
    <xf numFmtId="49" fontId="4" fillId="3" borderId="1" xfId="1" applyNumberFormat="1" applyFont="1" applyFill="1" applyBorder="1"/>
    <xf numFmtId="49" fontId="3" fillId="0" borderId="1" xfId="1" applyNumberFormat="1" applyFont="1" applyFill="1" applyBorder="1" applyAlignment="1">
      <alignment vertical="center"/>
    </xf>
    <xf numFmtId="49" fontId="5" fillId="5" borderId="9" xfId="1" applyNumberFormat="1" applyFont="1" applyFill="1" applyBorder="1"/>
    <xf numFmtId="49" fontId="4" fillId="3" borderId="1" xfId="1" applyNumberFormat="1" applyFont="1" applyFill="1" applyBorder="1" applyAlignment="1">
      <alignment horizontal="left"/>
    </xf>
    <xf numFmtId="49" fontId="5" fillId="5" borderId="11" xfId="1" applyNumberFormat="1" applyFont="1" applyFill="1" applyBorder="1"/>
    <xf numFmtId="49" fontId="3" fillId="0" borderId="23" xfId="1" applyNumberFormat="1" applyFont="1" applyBorder="1"/>
    <xf numFmtId="0" fontId="3" fillId="0" borderId="25" xfId="1" applyFont="1" applyBorder="1"/>
    <xf numFmtId="49" fontId="5" fillId="35" borderId="1" xfId="1" applyNumberFormat="1" applyFont="1" applyFill="1" applyBorder="1"/>
    <xf numFmtId="49" fontId="3" fillId="0" borderId="12" xfId="1" applyNumberFormat="1" applyFont="1" applyFill="1" applyBorder="1"/>
    <xf numFmtId="49" fontId="3" fillId="0" borderId="13" xfId="1" applyNumberFormat="1" applyFont="1" applyFill="1" applyBorder="1"/>
    <xf numFmtId="0" fontId="3" fillId="0" borderId="13" xfId="1" applyFont="1" applyFill="1" applyBorder="1"/>
    <xf numFmtId="168" fontId="36" fillId="0" borderId="0" xfId="0" applyNumberFormat="1" applyFont="1"/>
    <xf numFmtId="168" fontId="37" fillId="29" borderId="0" xfId="0" applyNumberFormat="1" applyFont="1" applyFill="1"/>
    <xf numFmtId="168" fontId="36" fillId="29" borderId="0" xfId="0" applyNumberFormat="1" applyFont="1" applyFill="1"/>
    <xf numFmtId="0" fontId="0" fillId="0" borderId="0" xfId="0" applyAlignment="1">
      <alignment wrapText="1"/>
    </xf>
    <xf numFmtId="164" fontId="7" fillId="0" borderId="6" xfId="1" applyNumberFormat="1" applyFont="1" applyFill="1" applyBorder="1"/>
    <xf numFmtId="49" fontId="5" fillId="0" borderId="4" xfId="1" applyNumberFormat="1" applyFont="1" applyFill="1" applyBorder="1"/>
    <xf numFmtId="49" fontId="5" fillId="0" borderId="1" xfId="1" applyNumberFormat="1" applyFont="1" applyFill="1" applyBorder="1"/>
    <xf numFmtId="0" fontId="5" fillId="0" borderId="1" xfId="1" applyFont="1" applyFill="1" applyBorder="1"/>
    <xf numFmtId="164" fontId="5" fillId="0" borderId="6" xfId="1" applyNumberFormat="1" applyFont="1" applyFill="1" applyBorder="1"/>
    <xf numFmtId="165" fontId="5" fillId="0" borderId="7" xfId="1" applyNumberFormat="1" applyFont="1" applyFill="1" applyBorder="1"/>
    <xf numFmtId="49" fontId="3" fillId="0" borderId="10" xfId="1" applyNumberFormat="1" applyFont="1" applyFill="1" applyBorder="1"/>
    <xf numFmtId="0" fontId="3" fillId="0" borderId="11" xfId="1" applyFont="1" applyFill="1" applyBorder="1"/>
    <xf numFmtId="49" fontId="3" fillId="0" borderId="24" xfId="1" applyNumberFormat="1" applyFont="1" applyFill="1" applyBorder="1"/>
    <xf numFmtId="49" fontId="3" fillId="34" borderId="1" xfId="1" applyNumberFormat="1" applyFont="1" applyFill="1" applyBorder="1"/>
    <xf numFmtId="49" fontId="3" fillId="0" borderId="23" xfId="1" applyNumberFormat="1" applyFont="1" applyFill="1" applyBorder="1"/>
    <xf numFmtId="49" fontId="3" fillId="0" borderId="26" xfId="1" applyNumberFormat="1" applyFont="1" applyFill="1" applyBorder="1"/>
    <xf numFmtId="0" fontId="3" fillId="0" borderId="25" xfId="1" applyFont="1" applyFill="1" applyBorder="1"/>
    <xf numFmtId="49" fontId="3" fillId="0" borderId="0" xfId="1" applyNumberFormat="1" applyFont="1" applyBorder="1"/>
    <xf numFmtId="0" fontId="3" fillId="0" borderId="0" xfId="1" applyFont="1" applyBorder="1"/>
    <xf numFmtId="165" fontId="3" fillId="0" borderId="0" xfId="1" applyNumberFormat="1" applyFont="1" applyBorder="1"/>
    <xf numFmtId="164" fontId="3" fillId="0" borderId="0" xfId="1" applyNumberFormat="1" applyFont="1" applyFill="1" applyBorder="1"/>
    <xf numFmtId="165" fontId="5" fillId="35" borderId="7" xfId="1" applyNumberFormat="1" applyFont="1" applyFill="1" applyBorder="1"/>
    <xf numFmtId="0" fontId="10" fillId="35" borderId="0" xfId="0" applyFont="1" applyFill="1"/>
    <xf numFmtId="0" fontId="10" fillId="0" borderId="0" xfId="0" applyFont="1" applyFill="1"/>
    <xf numFmtId="49" fontId="5" fillId="0" borderId="0" xfId="1" applyNumberFormat="1" applyFont="1" applyAlignment="1">
      <alignment vertical="center"/>
    </xf>
    <xf numFmtId="49" fontId="9" fillId="0" borderId="4" xfId="1" applyNumberFormat="1" applyFont="1" applyFill="1" applyBorder="1"/>
    <xf numFmtId="0" fontId="9" fillId="0" borderId="1" xfId="1" applyFont="1" applyFill="1" applyBorder="1"/>
    <xf numFmtId="165" fontId="9" fillId="0" borderId="7" xfId="1" applyNumberFormat="1" applyFont="1" applyFill="1" applyBorder="1"/>
    <xf numFmtId="4" fontId="0" fillId="0" borderId="6" xfId="0" applyNumberFormat="1" applyBorder="1"/>
    <xf numFmtId="164" fontId="7" fillId="34" borderId="6" xfId="1" applyNumberFormat="1" applyFont="1" applyFill="1" applyBorder="1"/>
    <xf numFmtId="49" fontId="7" fillId="0" borderId="4" xfId="1" applyNumberFormat="1" applyFont="1" applyFill="1" applyBorder="1"/>
    <xf numFmtId="0" fontId="7" fillId="0" borderId="1" xfId="1" applyFont="1" applyFill="1" applyBorder="1"/>
    <xf numFmtId="165" fontId="3" fillId="0" borderId="1" xfId="1" applyNumberFormat="1" applyFont="1" applyFill="1" applyBorder="1"/>
    <xf numFmtId="4" fontId="0" fillId="0" borderId="0" xfId="0" applyNumberFormat="1"/>
    <xf numFmtId="49" fontId="3" fillId="0" borderId="11" xfId="1" applyNumberFormat="1" applyFont="1" applyFill="1" applyBorder="1"/>
    <xf numFmtId="168" fontId="0" fillId="0" borderId="7" xfId="0" applyNumberFormat="1" applyFill="1" applyBorder="1"/>
    <xf numFmtId="168" fontId="0" fillId="0" borderId="6" xfId="0" applyNumberFormat="1" applyFill="1" applyBorder="1"/>
    <xf numFmtId="49" fontId="3" fillId="7" borderId="4" xfId="1" applyNumberFormat="1" applyFont="1" applyFill="1" applyBorder="1"/>
    <xf numFmtId="49" fontId="3" fillId="7" borderId="1" xfId="1" applyNumberFormat="1" applyFont="1" applyFill="1" applyBorder="1"/>
    <xf numFmtId="0" fontId="3" fillId="7" borderId="1" xfId="1" applyFont="1" applyFill="1" applyBorder="1"/>
    <xf numFmtId="164" fontId="3" fillId="7" borderId="6" xfId="1" applyNumberFormat="1" applyFont="1" applyFill="1" applyBorder="1"/>
    <xf numFmtId="165" fontId="3" fillId="7" borderId="7" xfId="1" applyNumberFormat="1" applyFont="1" applyFill="1" applyBorder="1"/>
    <xf numFmtId="0" fontId="0" fillId="7" borderId="0" xfId="0" applyFill="1"/>
    <xf numFmtId="49" fontId="3" fillId="7" borderId="8" xfId="1" applyNumberFormat="1" applyFont="1" applyFill="1" applyBorder="1"/>
    <xf numFmtId="49" fontId="3" fillId="7" borderId="9" xfId="1" applyNumberFormat="1" applyFont="1" applyFill="1" applyBorder="1"/>
    <xf numFmtId="0" fontId="3" fillId="7" borderId="9" xfId="1" applyFont="1" applyFill="1" applyBorder="1"/>
    <xf numFmtId="49" fontId="3" fillId="7" borderId="4" xfId="1" applyNumberFormat="1" applyFont="1" applyFill="1" applyBorder="1" applyAlignment="1">
      <alignment vertical="center"/>
    </xf>
    <xf numFmtId="49" fontId="3" fillId="7" borderId="1" xfId="1" applyNumberFormat="1" applyFont="1" applyFill="1" applyBorder="1" applyAlignment="1">
      <alignment vertical="center"/>
    </xf>
    <xf numFmtId="0" fontId="3" fillId="7" borderId="1" xfId="1" applyFont="1" applyFill="1" applyBorder="1" applyAlignment="1">
      <alignment vertical="center"/>
    </xf>
    <xf numFmtId="164" fontId="3" fillId="7" borderId="6" xfId="1" applyNumberFormat="1" applyFont="1" applyFill="1" applyBorder="1" applyAlignment="1">
      <alignment vertical="center"/>
    </xf>
    <xf numFmtId="165" fontId="3" fillId="7" borderId="6" xfId="1" applyNumberFormat="1" applyFont="1" applyFill="1" applyBorder="1"/>
    <xf numFmtId="49" fontId="4" fillId="0" borderId="1" xfId="1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/>
    </xf>
    <xf numFmtId="49" fontId="4" fillId="0" borderId="4" xfId="1" applyNumberFormat="1" applyFont="1" applyFill="1" applyBorder="1" applyAlignment="1">
      <alignment horizontal="center" vertical="center"/>
    </xf>
  </cellXfs>
  <cellStyles count="53">
    <cellStyle name="20% - Akzent1" xfId="2"/>
    <cellStyle name="20% - Akzent2" xfId="3"/>
    <cellStyle name="20% - Akzent3" xfId="4"/>
    <cellStyle name="20% - Akzent4" xfId="5"/>
    <cellStyle name="20% - Akzent5" xfId="6"/>
    <cellStyle name="20% - Akzent6" xfId="7"/>
    <cellStyle name="40% - Akzent1" xfId="8"/>
    <cellStyle name="40% - Akzent2" xfId="9"/>
    <cellStyle name="40% - Akzent3" xfId="10"/>
    <cellStyle name="40% - Akzent4" xfId="11"/>
    <cellStyle name="40% - Akzent5" xfId="12"/>
    <cellStyle name="40% - Akzent6" xfId="13"/>
    <cellStyle name="60% - Akzent1" xfId="14"/>
    <cellStyle name="60% - Akzent2" xfId="15"/>
    <cellStyle name="60% - Akzent3" xfId="16"/>
    <cellStyle name="60% - Akzent4" xfId="17"/>
    <cellStyle name="60% - Akzent5" xfId="18"/>
    <cellStyle name="60% - Akzent6" xfId="19"/>
    <cellStyle name="Akzent1 2" xfId="20"/>
    <cellStyle name="Akzent2 2" xfId="21"/>
    <cellStyle name="Akzent3 2" xfId="22"/>
    <cellStyle name="Akzent4 2" xfId="23"/>
    <cellStyle name="Akzent5 2" xfId="24"/>
    <cellStyle name="Akzent6 2" xfId="25"/>
    <cellStyle name="Ausgabe 2" xfId="26"/>
    <cellStyle name="Berechnung 2" xfId="27"/>
    <cellStyle name="Eingabe 2" xfId="28"/>
    <cellStyle name="Ergebnis 1" xfId="29"/>
    <cellStyle name="Ergebnis 2" xfId="30"/>
    <cellStyle name="Erklärender Text 2" xfId="31"/>
    <cellStyle name="Gut 2" xfId="32"/>
    <cellStyle name="Heading" xfId="33"/>
    <cellStyle name="Heading (user)" xfId="34"/>
    <cellStyle name="Heading1" xfId="35"/>
    <cellStyle name="Heading1 (user)" xfId="36"/>
    <cellStyle name="Neutral 2" xfId="37"/>
    <cellStyle name="Notiz 2" xfId="38"/>
    <cellStyle name="Result" xfId="39"/>
    <cellStyle name="Result (user)" xfId="40"/>
    <cellStyle name="Result2" xfId="41"/>
    <cellStyle name="Result2 (user)" xfId="42"/>
    <cellStyle name="Schlecht 2" xfId="43"/>
    <cellStyle name="Standard" xfId="0" builtinId="0"/>
    <cellStyle name="Standard 2" xfId="1"/>
    <cellStyle name="Überschrift 1 1" xfId="44"/>
    <cellStyle name="Überschrift 1 2" xfId="45"/>
    <cellStyle name="Überschrift 2 2" xfId="46"/>
    <cellStyle name="Überschrift 3 2" xfId="47"/>
    <cellStyle name="Überschrift 4 2" xfId="48"/>
    <cellStyle name="Überschrift 5" xfId="49"/>
    <cellStyle name="Verknüpfte Zelle 2" xfId="50"/>
    <cellStyle name="Warnender Text 2" xfId="51"/>
    <cellStyle name="Zelle überprüfen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2"/>
  <sheetViews>
    <sheetView tabSelected="1" zoomScale="80" zoomScaleNormal="80" workbookViewId="0">
      <pane ySplit="6" topLeftCell="A151" activePane="bottomLeft" state="frozen"/>
      <selection pane="bottomLeft" activeCell="C3" sqref="C3"/>
    </sheetView>
  </sheetViews>
  <sheetFormatPr baseColWidth="10" defaultColWidth="10.85546875" defaultRowHeight="15"/>
  <cols>
    <col min="1" max="1" width="12.5703125" bestFit="1" customWidth="1"/>
    <col min="2" max="2" width="14.140625" bestFit="1" customWidth="1"/>
    <col min="3" max="3" width="77.140625" bestFit="1" customWidth="1"/>
    <col min="4" max="4" width="15.140625" customWidth="1"/>
    <col min="5" max="5" width="13.85546875" customWidth="1"/>
    <col min="6" max="6" width="15.140625" customWidth="1"/>
    <col min="7" max="7" width="4.5703125" customWidth="1"/>
    <col min="8" max="10" width="15.140625" customWidth="1"/>
    <col min="11" max="11" width="4.5703125" customWidth="1"/>
    <col min="12" max="12" width="15.140625" customWidth="1"/>
    <col min="13" max="13" width="13.85546875" customWidth="1"/>
    <col min="14" max="14" width="15.140625" customWidth="1"/>
    <col min="15" max="15" width="4.5703125" customWidth="1"/>
    <col min="16" max="16" width="15.140625" customWidth="1"/>
    <col min="17" max="17" width="13.85546875" customWidth="1"/>
    <col min="18" max="18" width="15.140625" customWidth="1"/>
    <col min="19" max="19" width="4.140625" customWidth="1"/>
  </cols>
  <sheetData>
    <row r="1" spans="1:14" ht="18.75">
      <c r="A1" s="1"/>
      <c r="B1" s="1"/>
      <c r="C1" s="2"/>
      <c r="D1" s="3"/>
      <c r="E1" s="4"/>
      <c r="F1" s="4"/>
      <c r="H1" s="4"/>
      <c r="I1" s="4"/>
      <c r="J1" s="4"/>
      <c r="L1" s="3"/>
      <c r="M1" s="4"/>
      <c r="N1" s="4"/>
    </row>
    <row r="2" spans="1:14">
      <c r="A2" s="5"/>
      <c r="B2" s="5"/>
      <c r="C2" s="5" t="s">
        <v>944</v>
      </c>
      <c r="D2" s="3" t="s">
        <v>0</v>
      </c>
      <c r="E2" s="6" t="s">
        <v>1</v>
      </c>
      <c r="F2" s="6" t="s">
        <v>0</v>
      </c>
      <c r="H2" s="3" t="s">
        <v>0</v>
      </c>
      <c r="I2" s="6" t="s">
        <v>1</v>
      </c>
      <c r="J2" s="6" t="s">
        <v>0</v>
      </c>
    </row>
    <row r="3" spans="1:14">
      <c r="A3" s="5"/>
      <c r="B3" s="5"/>
      <c r="C3" s="5"/>
      <c r="D3" s="7">
        <v>34102</v>
      </c>
      <c r="E3" s="87">
        <v>32000</v>
      </c>
      <c r="F3" s="87">
        <v>34500</v>
      </c>
      <c r="H3" s="7">
        <v>34500</v>
      </c>
      <c r="I3" s="87">
        <v>32000</v>
      </c>
      <c r="J3" s="87">
        <v>34500</v>
      </c>
    </row>
    <row r="4" spans="1:14" ht="21">
      <c r="A4" s="8"/>
      <c r="B4" s="8"/>
      <c r="C4" s="8"/>
      <c r="D4" s="173" t="s">
        <v>943</v>
      </c>
      <c r="E4" s="174"/>
      <c r="F4" s="175"/>
      <c r="H4" s="173" t="s">
        <v>939</v>
      </c>
      <c r="I4" s="174"/>
      <c r="J4" s="175"/>
    </row>
    <row r="5" spans="1:14" ht="21">
      <c r="A5" s="9" t="s">
        <v>452</v>
      </c>
      <c r="B5" s="10" t="s">
        <v>453</v>
      </c>
      <c r="C5" s="10" t="s">
        <v>3</v>
      </c>
      <c r="D5" s="11" t="s">
        <v>4</v>
      </c>
      <c r="E5" s="12" t="s">
        <v>5</v>
      </c>
      <c r="F5" s="11" t="s">
        <v>6</v>
      </c>
      <c r="H5" s="11" t="s">
        <v>4</v>
      </c>
      <c r="I5" s="12" t="s">
        <v>5</v>
      </c>
      <c r="J5" s="11" t="s">
        <v>6</v>
      </c>
    </row>
    <row r="6" spans="1:14">
      <c r="A6" s="8"/>
      <c r="B6" s="8"/>
      <c r="C6" s="8"/>
      <c r="D6" s="8"/>
      <c r="E6" s="4"/>
      <c r="F6" s="4"/>
      <c r="H6" s="8"/>
      <c r="I6" s="4"/>
      <c r="J6" s="4"/>
    </row>
    <row r="7" spans="1:14" ht="21">
      <c r="A7" s="9">
        <v>1</v>
      </c>
      <c r="B7" s="10"/>
      <c r="C7" s="13" t="s">
        <v>7</v>
      </c>
      <c r="D7" s="14">
        <f>SUM(D8,D12,D16,D23,D31,D34)</f>
        <v>1150790</v>
      </c>
      <c r="E7" s="14">
        <f>SUM(E8,E12,E16,E23,E31,E34)</f>
        <v>972790</v>
      </c>
      <c r="F7" s="14">
        <f>SUM(F8,F12,F16,F23,F31,F34)</f>
        <v>178000</v>
      </c>
      <c r="H7" s="14">
        <f>SUM(H8,H12,H16,H23,H31,H34)</f>
        <v>1041181.14</v>
      </c>
      <c r="I7" s="14">
        <f>SUM(I8,I12,I16,I23,I31,I34)</f>
        <v>809181.14</v>
      </c>
      <c r="J7" s="14">
        <f>SUM(J8,J12,J16,J23,J31,J34)</f>
        <v>232000</v>
      </c>
    </row>
    <row r="8" spans="1:14">
      <c r="A8" s="15" t="s">
        <v>8</v>
      </c>
      <c r="B8" s="104"/>
      <c r="C8" s="16" t="s">
        <v>9</v>
      </c>
      <c r="D8" s="17">
        <f>SUM(D9:D11)</f>
        <v>700000</v>
      </c>
      <c r="E8" s="18">
        <f>SUM(E9:E11)</f>
        <v>700000</v>
      </c>
      <c r="F8" s="17">
        <f>SUM(F9:F11)</f>
        <v>0</v>
      </c>
      <c r="H8" s="17">
        <f>SUM(H9:H11)</f>
        <v>700000</v>
      </c>
      <c r="I8" s="18">
        <f>SUM(I9:I11)</f>
        <v>700000</v>
      </c>
      <c r="J8" s="17">
        <f>SUM(J9:J11)</f>
        <v>0</v>
      </c>
    </row>
    <row r="9" spans="1:14">
      <c r="A9" s="19" t="s">
        <v>10</v>
      </c>
      <c r="B9" s="105" t="s">
        <v>454</v>
      </c>
      <c r="C9" s="20" t="s">
        <v>11</v>
      </c>
      <c r="D9" s="26">
        <v>700000</v>
      </c>
      <c r="E9" s="39">
        <f>-F9+D9</f>
        <v>700000</v>
      </c>
      <c r="F9" s="26">
        <v>0</v>
      </c>
      <c r="G9" s="91"/>
      <c r="H9" s="26">
        <v>700000</v>
      </c>
      <c r="I9" s="39">
        <f>-J9+H9</f>
        <v>700000</v>
      </c>
      <c r="J9" s="26">
        <v>0</v>
      </c>
    </row>
    <row r="10" spans="1:14">
      <c r="A10" s="19"/>
      <c r="B10" s="105" t="s">
        <v>616</v>
      </c>
      <c r="C10" s="20" t="s">
        <v>617</v>
      </c>
      <c r="D10" s="96">
        <v>0</v>
      </c>
      <c r="E10" s="21">
        <f>-F10+D10</f>
        <v>0</v>
      </c>
      <c r="F10" s="22">
        <v>0</v>
      </c>
      <c r="G10" s="91"/>
      <c r="H10" s="96">
        <v>0</v>
      </c>
      <c r="I10" s="21">
        <f>-J10+H10</f>
        <v>0</v>
      </c>
      <c r="J10" s="22">
        <v>0</v>
      </c>
    </row>
    <row r="11" spans="1:14">
      <c r="A11" s="19"/>
      <c r="B11" s="105" t="s">
        <v>614</v>
      </c>
      <c r="C11" s="20" t="s">
        <v>615</v>
      </c>
      <c r="D11" s="96">
        <v>0</v>
      </c>
      <c r="E11" s="21">
        <f>-F11+D11</f>
        <v>0</v>
      </c>
      <c r="F11" s="22">
        <v>0</v>
      </c>
      <c r="G11" s="91"/>
      <c r="H11" s="96">
        <v>0</v>
      </c>
      <c r="I11" s="21">
        <f>-J11+H11</f>
        <v>0</v>
      </c>
      <c r="J11" s="22">
        <v>0</v>
      </c>
    </row>
    <row r="12" spans="1:14">
      <c r="A12" s="23" t="s">
        <v>12</v>
      </c>
      <c r="B12" s="106"/>
      <c r="C12" s="24" t="s">
        <v>13</v>
      </c>
      <c r="D12" s="17">
        <f>SUM(D13:D15)</f>
        <v>1000</v>
      </c>
      <c r="E12" s="18">
        <f>SUM(E13:E15)</f>
        <v>-19000</v>
      </c>
      <c r="F12" s="17">
        <f>SUM(F13:F15)</f>
        <v>20000</v>
      </c>
      <c r="H12" s="17">
        <f>SUM(H13:H15)</f>
        <v>1000</v>
      </c>
      <c r="I12" s="18">
        <f>SUM(I13:I15)</f>
        <v>-19000</v>
      </c>
      <c r="J12" s="17">
        <f>SUM(J13:J15)</f>
        <v>20000</v>
      </c>
    </row>
    <row r="13" spans="1:14">
      <c r="A13" s="25" t="s">
        <v>14</v>
      </c>
      <c r="B13" s="109" t="s">
        <v>917</v>
      </c>
      <c r="C13" s="20" t="s">
        <v>620</v>
      </c>
      <c r="D13" s="38">
        <v>1000</v>
      </c>
      <c r="E13" s="21">
        <f>-F13+D13</f>
        <v>1000</v>
      </c>
      <c r="F13" s="96">
        <v>0</v>
      </c>
      <c r="G13" s="91"/>
      <c r="H13" s="38">
        <v>1000</v>
      </c>
      <c r="I13" s="21">
        <f>-J13+H13</f>
        <v>1000</v>
      </c>
      <c r="J13" s="96">
        <v>0</v>
      </c>
    </row>
    <row r="14" spans="1:14">
      <c r="A14" s="25"/>
      <c r="B14" s="107" t="s">
        <v>455</v>
      </c>
      <c r="C14" s="20" t="s">
        <v>618</v>
      </c>
      <c r="D14" s="38">
        <v>0</v>
      </c>
      <c r="E14" s="21">
        <f>-F14+D14</f>
        <v>-10000</v>
      </c>
      <c r="F14" s="96">
        <v>10000</v>
      </c>
      <c r="G14" s="91"/>
      <c r="H14" s="38">
        <v>0</v>
      </c>
      <c r="I14" s="21">
        <f>-J14+H14</f>
        <v>-10000</v>
      </c>
      <c r="J14" s="96">
        <v>10000</v>
      </c>
    </row>
    <row r="15" spans="1:14">
      <c r="A15" s="25"/>
      <c r="B15" s="107" t="s">
        <v>619</v>
      </c>
      <c r="C15" s="20" t="s">
        <v>17</v>
      </c>
      <c r="D15" s="38">
        <v>0</v>
      </c>
      <c r="E15" s="39">
        <f>-F15+D15</f>
        <v>-10000</v>
      </c>
      <c r="F15" s="26">
        <v>10000</v>
      </c>
      <c r="G15" s="91"/>
      <c r="H15" s="38">
        <v>0</v>
      </c>
      <c r="I15" s="39">
        <f>-J15+H15</f>
        <v>-10000</v>
      </c>
      <c r="J15" s="26">
        <v>10000</v>
      </c>
    </row>
    <row r="16" spans="1:14">
      <c r="A16" s="27" t="s">
        <v>18</v>
      </c>
      <c r="B16" s="108"/>
      <c r="C16" s="16" t="s">
        <v>19</v>
      </c>
      <c r="D16" s="17">
        <f>SUM(D17:D22)</f>
        <v>45383.759999999995</v>
      </c>
      <c r="E16" s="18">
        <f>SUM(E17:E22)</f>
        <v>44383.759999999995</v>
      </c>
      <c r="F16" s="17">
        <f>SUM(F17:F22)</f>
        <v>1000</v>
      </c>
      <c r="H16" s="17">
        <f>SUM(H17:H22)</f>
        <v>30383.759999999998</v>
      </c>
      <c r="I16" s="18">
        <f>SUM(I17:I22)</f>
        <v>-24616.240000000002</v>
      </c>
      <c r="J16" s="17">
        <f>SUM(J17:J22)</f>
        <v>55000</v>
      </c>
    </row>
    <row r="17" spans="1:10">
      <c r="A17" s="93" t="s">
        <v>20</v>
      </c>
      <c r="B17" s="109" t="s">
        <v>622</v>
      </c>
      <c r="C17" s="54" t="s">
        <v>621</v>
      </c>
      <c r="D17" s="26">
        <v>0</v>
      </c>
      <c r="E17" s="39">
        <f t="shared" ref="E17:E22" si="0">-F17+D17</f>
        <v>0</v>
      </c>
      <c r="F17" s="26">
        <v>0</v>
      </c>
      <c r="G17" s="91"/>
      <c r="H17" s="26">
        <v>0</v>
      </c>
      <c r="I17" s="39">
        <f t="shared" ref="I17:I22" si="1">-J17+H17</f>
        <v>0</v>
      </c>
      <c r="J17" s="26">
        <v>0</v>
      </c>
    </row>
    <row r="18" spans="1:10">
      <c r="A18" s="159"/>
      <c r="B18" s="160" t="s">
        <v>624</v>
      </c>
      <c r="C18" s="161" t="s">
        <v>623</v>
      </c>
      <c r="D18" s="162">
        <v>15000</v>
      </c>
      <c r="E18" s="163">
        <f t="shared" si="0"/>
        <v>15000</v>
      </c>
      <c r="F18" s="162">
        <v>0</v>
      </c>
      <c r="G18" s="164"/>
      <c r="H18" s="26">
        <v>0</v>
      </c>
      <c r="I18" s="39">
        <f t="shared" si="1"/>
        <v>0</v>
      </c>
      <c r="J18" s="26">
        <v>0</v>
      </c>
    </row>
    <row r="19" spans="1:10">
      <c r="A19" s="159" t="s">
        <v>24</v>
      </c>
      <c r="B19" s="160" t="s">
        <v>631</v>
      </c>
      <c r="C19" s="161" t="s">
        <v>625</v>
      </c>
      <c r="D19" s="162">
        <v>0</v>
      </c>
      <c r="E19" s="163">
        <f t="shared" si="0"/>
        <v>0</v>
      </c>
      <c r="F19" s="162">
        <v>0</v>
      </c>
      <c r="G19" s="164"/>
      <c r="H19" s="26">
        <v>0</v>
      </c>
      <c r="I19" s="39">
        <f t="shared" si="1"/>
        <v>-40000</v>
      </c>
      <c r="J19" s="26">
        <v>40000</v>
      </c>
    </row>
    <row r="20" spans="1:10">
      <c r="A20" s="25"/>
      <c r="B20" s="107" t="s">
        <v>628</v>
      </c>
      <c r="C20" s="20" t="s">
        <v>627</v>
      </c>
      <c r="D20" s="26">
        <v>30383.759999999998</v>
      </c>
      <c r="E20" s="39">
        <f t="shared" si="0"/>
        <v>30383.759999999998</v>
      </c>
      <c r="F20" s="26">
        <v>0</v>
      </c>
      <c r="G20" s="91"/>
      <c r="H20" s="26">
        <v>30383.759999999998</v>
      </c>
      <c r="I20" s="39">
        <f t="shared" si="1"/>
        <v>30383.759999999998</v>
      </c>
      <c r="J20" s="26">
        <v>0</v>
      </c>
    </row>
    <row r="21" spans="1:10">
      <c r="A21" s="159" t="s">
        <v>26</v>
      </c>
      <c r="B21" s="160" t="s">
        <v>626</v>
      </c>
      <c r="C21" s="161" t="s">
        <v>629</v>
      </c>
      <c r="D21" s="162">
        <v>0</v>
      </c>
      <c r="E21" s="163">
        <f t="shared" si="0"/>
        <v>-1000</v>
      </c>
      <c r="F21" s="162">
        <v>1000</v>
      </c>
      <c r="G21" s="164"/>
      <c r="H21" s="26">
        <v>0</v>
      </c>
      <c r="I21" s="39">
        <f t="shared" si="1"/>
        <v>-15000</v>
      </c>
      <c r="J21" s="26">
        <v>15000</v>
      </c>
    </row>
    <row r="22" spans="1:10">
      <c r="A22" s="93"/>
      <c r="B22" s="109" t="s">
        <v>632</v>
      </c>
      <c r="C22" s="54" t="s">
        <v>630</v>
      </c>
      <c r="D22" s="26">
        <v>0</v>
      </c>
      <c r="E22" s="39">
        <f t="shared" si="0"/>
        <v>0</v>
      </c>
      <c r="F22" s="26">
        <v>0</v>
      </c>
      <c r="G22" s="91"/>
      <c r="H22" s="26">
        <v>0</v>
      </c>
      <c r="I22" s="39">
        <f t="shared" si="1"/>
        <v>0</v>
      </c>
      <c r="J22" s="26">
        <v>0</v>
      </c>
    </row>
    <row r="23" spans="1:10" s="64" customFormat="1">
      <c r="A23" s="27" t="s">
        <v>28</v>
      </c>
      <c r="B23" s="108"/>
      <c r="C23" s="16" t="s">
        <v>336</v>
      </c>
      <c r="D23" s="17">
        <f>SUM(D24:D30)</f>
        <v>50000</v>
      </c>
      <c r="E23" s="18">
        <f>SUM(E24:E30)</f>
        <v>-107000</v>
      </c>
      <c r="F23" s="17">
        <f>SUM(F24:F30)</f>
        <v>157000</v>
      </c>
      <c r="H23" s="17">
        <f>SUM(H24:H30)</f>
        <v>50000</v>
      </c>
      <c r="I23" s="18">
        <f>SUM(I24:I30)</f>
        <v>-107000</v>
      </c>
      <c r="J23" s="17">
        <f>SUM(J24:J30)</f>
        <v>157000</v>
      </c>
    </row>
    <row r="24" spans="1:10">
      <c r="A24" s="25" t="s">
        <v>29</v>
      </c>
      <c r="B24" s="109" t="s">
        <v>590</v>
      </c>
      <c r="C24" s="54" t="s">
        <v>610</v>
      </c>
      <c r="D24" s="96">
        <v>40000</v>
      </c>
      <c r="E24" s="97">
        <f t="shared" ref="E24:E30" si="2">-F24+D24</f>
        <v>40000</v>
      </c>
      <c r="F24" s="96">
        <v>0</v>
      </c>
      <c r="G24" s="91"/>
      <c r="H24" s="96">
        <v>40000</v>
      </c>
      <c r="I24" s="97">
        <f t="shared" ref="I24:I30" si="3">-J24+H24</f>
        <v>40000</v>
      </c>
      <c r="J24" s="96">
        <v>0</v>
      </c>
    </row>
    <row r="25" spans="1:10">
      <c r="A25" s="25" t="s">
        <v>30</v>
      </c>
      <c r="B25" s="109" t="s">
        <v>591</v>
      </c>
      <c r="C25" s="54" t="s">
        <v>611</v>
      </c>
      <c r="D25" s="26">
        <v>0</v>
      </c>
      <c r="E25" s="39">
        <f t="shared" si="2"/>
        <v>-80000</v>
      </c>
      <c r="F25" s="26">
        <v>80000</v>
      </c>
      <c r="G25" s="91"/>
      <c r="H25" s="26">
        <v>0</v>
      </c>
      <c r="I25" s="39">
        <f t="shared" si="3"/>
        <v>-80000</v>
      </c>
      <c r="J25" s="26">
        <v>80000</v>
      </c>
    </row>
    <row r="26" spans="1:10">
      <c r="A26" s="25" t="s">
        <v>29</v>
      </c>
      <c r="B26" s="109" t="s">
        <v>592</v>
      </c>
      <c r="C26" s="54" t="s">
        <v>612</v>
      </c>
      <c r="D26" s="22">
        <v>0</v>
      </c>
      <c r="E26" s="21">
        <f t="shared" si="2"/>
        <v>0</v>
      </c>
      <c r="F26" s="26">
        <v>0</v>
      </c>
      <c r="G26" s="91"/>
      <c r="H26" s="22">
        <v>0</v>
      </c>
      <c r="I26" s="21">
        <f t="shared" si="3"/>
        <v>0</v>
      </c>
      <c r="J26" s="26">
        <v>0</v>
      </c>
    </row>
    <row r="27" spans="1:10">
      <c r="A27" s="25" t="s">
        <v>30</v>
      </c>
      <c r="B27" s="109" t="s">
        <v>593</v>
      </c>
      <c r="C27" s="54" t="s">
        <v>613</v>
      </c>
      <c r="D27" s="22">
        <v>0</v>
      </c>
      <c r="E27" s="21">
        <f t="shared" si="2"/>
        <v>-5000</v>
      </c>
      <c r="F27" s="26">
        <v>5000</v>
      </c>
      <c r="G27" s="91"/>
      <c r="H27" s="22">
        <v>0</v>
      </c>
      <c r="I27" s="21">
        <f t="shared" si="3"/>
        <v>-5000</v>
      </c>
      <c r="J27" s="26">
        <v>5000</v>
      </c>
    </row>
    <row r="28" spans="1:10">
      <c r="A28" s="93" t="s">
        <v>31</v>
      </c>
      <c r="B28" s="109" t="s">
        <v>456</v>
      </c>
      <c r="C28" s="54" t="s">
        <v>415</v>
      </c>
      <c r="D28" s="22">
        <v>10000</v>
      </c>
      <c r="E28" s="21">
        <f t="shared" si="2"/>
        <v>10000</v>
      </c>
      <c r="F28" s="26">
        <v>0</v>
      </c>
      <c r="G28" s="91"/>
      <c r="H28" s="22">
        <v>10000</v>
      </c>
      <c r="I28" s="21">
        <f t="shared" si="3"/>
        <v>10000</v>
      </c>
      <c r="J28" s="26">
        <v>0</v>
      </c>
    </row>
    <row r="29" spans="1:10">
      <c r="A29" s="93"/>
      <c r="B29" s="109" t="s">
        <v>634</v>
      </c>
      <c r="C29" s="54" t="s">
        <v>633</v>
      </c>
      <c r="D29" s="26">
        <v>0</v>
      </c>
      <c r="E29" s="39">
        <f t="shared" si="2"/>
        <v>-70000</v>
      </c>
      <c r="F29" s="26">
        <v>70000</v>
      </c>
      <c r="G29" s="91"/>
      <c r="H29" s="26">
        <v>0</v>
      </c>
      <c r="I29" s="39">
        <f t="shared" si="3"/>
        <v>-70000</v>
      </c>
      <c r="J29" s="26">
        <v>70000</v>
      </c>
    </row>
    <row r="30" spans="1:10">
      <c r="A30" s="25" t="s">
        <v>335</v>
      </c>
      <c r="B30" s="109" t="s">
        <v>586</v>
      </c>
      <c r="C30" s="20" t="s">
        <v>635</v>
      </c>
      <c r="D30" s="26">
        <v>0</v>
      </c>
      <c r="E30" s="39">
        <f t="shared" si="2"/>
        <v>-2000</v>
      </c>
      <c r="F30" s="26">
        <v>2000</v>
      </c>
      <c r="G30" s="91"/>
      <c r="H30" s="26">
        <v>0</v>
      </c>
      <c r="I30" s="39">
        <f t="shared" si="3"/>
        <v>-2000</v>
      </c>
      <c r="J30" s="26">
        <v>2000</v>
      </c>
    </row>
    <row r="31" spans="1:10">
      <c r="A31" s="27" t="s">
        <v>34</v>
      </c>
      <c r="B31" s="108"/>
      <c r="C31" s="16" t="s">
        <v>35</v>
      </c>
      <c r="D31" s="17">
        <f>SUM(D32:D33)</f>
        <v>0</v>
      </c>
      <c r="E31" s="18">
        <f>SUM(E32:E33)</f>
        <v>0</v>
      </c>
      <c r="F31" s="17">
        <f>SUM(F32:F33)</f>
        <v>0</v>
      </c>
      <c r="H31" s="17">
        <f>SUM(H32:H33)</f>
        <v>0</v>
      </c>
      <c r="I31" s="18">
        <f>SUM(I32:I33)</f>
        <v>0</v>
      </c>
      <c r="J31" s="17">
        <f>SUM(J32:J33)</f>
        <v>0</v>
      </c>
    </row>
    <row r="32" spans="1:10">
      <c r="A32" s="28" t="s">
        <v>36</v>
      </c>
      <c r="B32" s="110" t="s">
        <v>457</v>
      </c>
      <c r="C32" s="29" t="s">
        <v>37</v>
      </c>
      <c r="D32" s="26">
        <v>0</v>
      </c>
      <c r="E32" s="21">
        <f>-F32+D32</f>
        <v>0</v>
      </c>
      <c r="F32" s="22">
        <v>0</v>
      </c>
      <c r="G32" s="91"/>
      <c r="H32" s="26">
        <v>0</v>
      </c>
      <c r="I32" s="21">
        <f>-J32+H32</f>
        <v>0</v>
      </c>
      <c r="J32" s="22">
        <v>0</v>
      </c>
    </row>
    <row r="33" spans="1:10">
      <c r="A33" s="25" t="s">
        <v>38</v>
      </c>
      <c r="B33" s="107" t="s">
        <v>458</v>
      </c>
      <c r="C33" s="20" t="s">
        <v>39</v>
      </c>
      <c r="D33" s="26">
        <v>0</v>
      </c>
      <c r="E33" s="21">
        <f>-F33+D33</f>
        <v>0</v>
      </c>
      <c r="F33" s="22">
        <v>0</v>
      </c>
      <c r="G33" s="91"/>
      <c r="H33" s="26">
        <v>0</v>
      </c>
      <c r="I33" s="21">
        <f>-J33+H33</f>
        <v>0</v>
      </c>
      <c r="J33" s="22">
        <v>0</v>
      </c>
    </row>
    <row r="34" spans="1:10">
      <c r="A34" s="27" t="s">
        <v>40</v>
      </c>
      <c r="B34" s="108"/>
      <c r="C34" s="16" t="s">
        <v>41</v>
      </c>
      <c r="D34" s="17">
        <f>SUM(D35:D36)</f>
        <v>354406.24</v>
      </c>
      <c r="E34" s="18">
        <f>SUM(E35:E36)</f>
        <v>354406.24</v>
      </c>
      <c r="F34" s="17">
        <f>SUM(F35:F36)</f>
        <v>0</v>
      </c>
      <c r="H34" s="17">
        <f>SUM(H35:H36)</f>
        <v>259797.38</v>
      </c>
      <c r="I34" s="18">
        <f>SUM(I35:I36)</f>
        <v>259797.38</v>
      </c>
      <c r="J34" s="17">
        <f>SUM(J35:J36)</f>
        <v>0</v>
      </c>
    </row>
    <row r="35" spans="1:10" s="64" customFormat="1">
      <c r="A35" s="132" t="s">
        <v>42</v>
      </c>
      <c r="B35" s="156" t="s">
        <v>459</v>
      </c>
      <c r="C35" s="133" t="s">
        <v>43</v>
      </c>
      <c r="D35" s="26">
        <f>32870+27442.38</f>
        <v>60312.380000000005</v>
      </c>
      <c r="E35" s="39">
        <f>-F35+D35</f>
        <v>60312.380000000005</v>
      </c>
      <c r="F35" s="26">
        <v>0</v>
      </c>
      <c r="H35" s="26">
        <f>32870+27442.38</f>
        <v>60312.380000000005</v>
      </c>
      <c r="I35" s="39">
        <f>-J35+H35</f>
        <v>60312.380000000005</v>
      </c>
      <c r="J35" s="26">
        <v>0</v>
      </c>
    </row>
    <row r="36" spans="1:10">
      <c r="A36" s="132" t="s">
        <v>44</v>
      </c>
      <c r="B36" s="156" t="s">
        <v>460</v>
      </c>
      <c r="C36" s="133" t="s">
        <v>45</v>
      </c>
      <c r="D36" s="26">
        <v>294093.86</v>
      </c>
      <c r="E36" s="39">
        <f>-F36+D36</f>
        <v>294093.86</v>
      </c>
      <c r="F36" s="26">
        <v>0</v>
      </c>
      <c r="G36" s="91"/>
      <c r="H36" s="26">
        <v>199485</v>
      </c>
      <c r="I36" s="39">
        <f>-J36+H36</f>
        <v>199485</v>
      </c>
      <c r="J36" s="26">
        <v>0</v>
      </c>
    </row>
    <row r="37" spans="1:10" ht="21">
      <c r="A37" s="32" t="s">
        <v>46</v>
      </c>
      <c r="B37" s="111"/>
      <c r="C37" s="33" t="s">
        <v>47</v>
      </c>
      <c r="D37" s="34">
        <f>SUM(D38,D45,D56,D67,D77,D88+D99)</f>
        <v>932201</v>
      </c>
      <c r="E37" s="35">
        <f>SUM(E38,E45,E56,E67,E77,E88,E99)</f>
        <v>353254.62</v>
      </c>
      <c r="F37" s="34">
        <f>SUM(F38,F45,F56,F67,F77,F88+F99)</f>
        <v>578946.38</v>
      </c>
      <c r="H37" s="34">
        <f>SUM(H38,H45,H56,H67,H77,H88+H99)</f>
        <v>994500</v>
      </c>
      <c r="I37" s="35">
        <f>SUM(I38,I45,I56,I67,I77,I88,I99)</f>
        <v>394057.62</v>
      </c>
      <c r="J37" s="34">
        <f>SUM(J38,J45,J56,J67,J77,J88+J99)</f>
        <v>600442.38</v>
      </c>
    </row>
    <row r="38" spans="1:10">
      <c r="A38" s="27" t="s">
        <v>48</v>
      </c>
      <c r="B38" s="108"/>
      <c r="C38" s="16" t="s">
        <v>49</v>
      </c>
      <c r="D38" s="17">
        <f>SUM(D39:D43)</f>
        <v>399000</v>
      </c>
      <c r="E38" s="18">
        <f>SUM(E39:E43)</f>
        <v>399000</v>
      </c>
      <c r="F38" s="17">
        <f>SUM(F39:F43)</f>
        <v>0</v>
      </c>
      <c r="H38" s="17">
        <f>SUM(H39:H43)</f>
        <v>450750</v>
      </c>
      <c r="I38" s="18">
        <f>SUM(I39:I43)</f>
        <v>450750</v>
      </c>
      <c r="J38" s="17">
        <f>SUM(J39:J43)</f>
        <v>0</v>
      </c>
    </row>
    <row r="39" spans="1:10">
      <c r="A39" s="25" t="s">
        <v>50</v>
      </c>
      <c r="B39" s="107" t="s">
        <v>461</v>
      </c>
      <c r="C39" s="20" t="s">
        <v>468</v>
      </c>
      <c r="D39" s="96">
        <f>20000*6</f>
        <v>120000</v>
      </c>
      <c r="E39" s="97">
        <f t="shared" ref="E39:E44" si="4">-F39+D39</f>
        <v>120000</v>
      </c>
      <c r="F39" s="96">
        <v>0</v>
      </c>
      <c r="G39" s="91"/>
      <c r="H39" s="96">
        <f>20000*6</f>
        <v>120000</v>
      </c>
      <c r="I39" s="97">
        <f t="shared" ref="I39:I44" si="5">-J39+H39</f>
        <v>120000</v>
      </c>
      <c r="J39" s="96">
        <v>0</v>
      </c>
    </row>
    <row r="40" spans="1:10">
      <c r="A40" s="25" t="s">
        <v>51</v>
      </c>
      <c r="B40" s="107" t="s">
        <v>462</v>
      </c>
      <c r="C40" s="20" t="s">
        <v>636</v>
      </c>
      <c r="D40" s="96">
        <v>0</v>
      </c>
      <c r="E40" s="97">
        <f t="shared" si="4"/>
        <v>0</v>
      </c>
      <c r="F40" s="96">
        <v>0</v>
      </c>
      <c r="G40" s="91"/>
      <c r="H40" s="96">
        <v>0</v>
      </c>
      <c r="I40" s="97">
        <f t="shared" si="5"/>
        <v>0</v>
      </c>
      <c r="J40" s="96">
        <v>0</v>
      </c>
    </row>
    <row r="41" spans="1:10">
      <c r="A41" s="36" t="s">
        <v>53</v>
      </c>
      <c r="B41" s="112" t="s">
        <v>463</v>
      </c>
      <c r="C41" s="37" t="s">
        <v>466</v>
      </c>
      <c r="D41" s="96">
        <f>E3*6</f>
        <v>192000</v>
      </c>
      <c r="E41" s="97">
        <f t="shared" si="4"/>
        <v>192000</v>
      </c>
      <c r="F41" s="96">
        <v>0</v>
      </c>
      <c r="G41" s="91"/>
      <c r="H41" s="96">
        <f>I3*6</f>
        <v>192000</v>
      </c>
      <c r="I41" s="97">
        <f t="shared" si="5"/>
        <v>192000</v>
      </c>
      <c r="J41" s="96">
        <v>0</v>
      </c>
    </row>
    <row r="42" spans="1:10">
      <c r="A42" s="168"/>
      <c r="B42" s="169" t="s">
        <v>464</v>
      </c>
      <c r="C42" s="170" t="s">
        <v>638</v>
      </c>
      <c r="D42" s="162">
        <f>F3*6-D39</f>
        <v>87000</v>
      </c>
      <c r="E42" s="163">
        <f t="shared" si="4"/>
        <v>87000</v>
      </c>
      <c r="F42" s="162">
        <v>0</v>
      </c>
      <c r="G42" s="164"/>
      <c r="H42" s="96">
        <f>J3*7.5-H39</f>
        <v>138750</v>
      </c>
      <c r="I42" s="97">
        <f t="shared" si="5"/>
        <v>138750</v>
      </c>
      <c r="J42" s="96">
        <v>0</v>
      </c>
    </row>
    <row r="43" spans="1:10">
      <c r="A43" s="36" t="s">
        <v>55</v>
      </c>
      <c r="B43" s="112" t="s">
        <v>465</v>
      </c>
      <c r="C43" s="37" t="s">
        <v>479</v>
      </c>
      <c r="D43" s="38">
        <v>0</v>
      </c>
      <c r="E43" s="21">
        <f t="shared" si="4"/>
        <v>0</v>
      </c>
      <c r="F43" s="22">
        <v>0</v>
      </c>
      <c r="G43" s="91"/>
      <c r="H43" s="38">
        <v>0</v>
      </c>
      <c r="I43" s="21">
        <f t="shared" si="5"/>
        <v>0</v>
      </c>
      <c r="J43" s="22">
        <v>0</v>
      </c>
    </row>
    <row r="44" spans="1:10">
      <c r="A44" s="36"/>
      <c r="B44" s="112"/>
      <c r="C44" s="37" t="s">
        <v>480</v>
      </c>
      <c r="D44" s="38">
        <v>0</v>
      </c>
      <c r="E44" s="21">
        <f t="shared" si="4"/>
        <v>0</v>
      </c>
      <c r="F44" s="22">
        <v>0</v>
      </c>
      <c r="G44" s="91"/>
      <c r="H44" s="38">
        <v>0</v>
      </c>
      <c r="I44" s="21">
        <f t="shared" si="5"/>
        <v>0</v>
      </c>
      <c r="J44" s="22">
        <v>0</v>
      </c>
    </row>
    <row r="45" spans="1:10">
      <c r="A45" s="27" t="s">
        <v>57</v>
      </c>
      <c r="B45" s="108"/>
      <c r="C45" s="16" t="s">
        <v>58</v>
      </c>
      <c r="D45" s="17">
        <f>SUM(D46:D55)</f>
        <v>99750</v>
      </c>
      <c r="E45" s="18">
        <f>SUM(E46:E55)</f>
        <v>-3153</v>
      </c>
      <c r="F45" s="17">
        <f>SUM(F46:F55)</f>
        <v>102903</v>
      </c>
      <c r="H45" s="17">
        <f>SUM(H46:H55)</f>
        <v>99750</v>
      </c>
      <c r="I45" s="18">
        <f>SUM(I46:I55)</f>
        <v>-3750</v>
      </c>
      <c r="J45" s="17">
        <f>SUM(J46:J55)</f>
        <v>103500</v>
      </c>
    </row>
    <row r="46" spans="1:10">
      <c r="A46" s="25" t="s">
        <v>59</v>
      </c>
      <c r="B46" s="107" t="s">
        <v>470</v>
      </c>
      <c r="C46" s="20" t="s">
        <v>468</v>
      </c>
      <c r="D46" s="96">
        <v>0</v>
      </c>
      <c r="E46" s="97">
        <f t="shared" ref="E46:E55" si="6">-F46+D46</f>
        <v>0</v>
      </c>
      <c r="F46" s="96">
        <v>0</v>
      </c>
      <c r="G46" s="91"/>
      <c r="H46" s="96">
        <v>0</v>
      </c>
      <c r="I46" s="97">
        <f t="shared" ref="I46:I55" si="7">-J46+H46</f>
        <v>0</v>
      </c>
      <c r="J46" s="96">
        <v>0</v>
      </c>
    </row>
    <row r="47" spans="1:10">
      <c r="A47" s="25"/>
      <c r="B47" s="107" t="s">
        <v>471</v>
      </c>
      <c r="C47" s="20" t="s">
        <v>469</v>
      </c>
      <c r="D47" s="96">
        <v>0</v>
      </c>
      <c r="E47" s="97">
        <f t="shared" si="6"/>
        <v>0</v>
      </c>
      <c r="F47" s="96">
        <v>0</v>
      </c>
      <c r="G47" s="91"/>
      <c r="H47" s="96">
        <v>0</v>
      </c>
      <c r="I47" s="97">
        <f t="shared" si="7"/>
        <v>0</v>
      </c>
      <c r="J47" s="96">
        <v>0</v>
      </c>
    </row>
    <row r="48" spans="1:10">
      <c r="A48" s="25" t="s">
        <v>60</v>
      </c>
      <c r="B48" s="107" t="s">
        <v>472</v>
      </c>
      <c r="C48" s="20" t="s">
        <v>636</v>
      </c>
      <c r="D48" s="96">
        <v>0</v>
      </c>
      <c r="E48" s="97">
        <f t="shared" si="6"/>
        <v>0</v>
      </c>
      <c r="F48" s="96">
        <v>0</v>
      </c>
      <c r="G48" s="91"/>
      <c r="H48" s="96">
        <v>0</v>
      </c>
      <c r="I48" s="97">
        <f t="shared" si="7"/>
        <v>0</v>
      </c>
      <c r="J48" s="96">
        <v>0</v>
      </c>
    </row>
    <row r="49" spans="1:10">
      <c r="A49" s="25"/>
      <c r="B49" s="107" t="s">
        <v>473</v>
      </c>
      <c r="C49" s="20" t="s">
        <v>637</v>
      </c>
      <c r="D49" s="96">
        <v>0</v>
      </c>
      <c r="E49" s="97">
        <f t="shared" si="6"/>
        <v>0</v>
      </c>
      <c r="F49" s="96">
        <v>0</v>
      </c>
      <c r="G49" s="91"/>
      <c r="H49" s="96">
        <v>0</v>
      </c>
      <c r="I49" s="97">
        <f t="shared" si="7"/>
        <v>0</v>
      </c>
      <c r="J49" s="96">
        <v>0</v>
      </c>
    </row>
    <row r="50" spans="1:10">
      <c r="A50" s="25" t="s">
        <v>61</v>
      </c>
      <c r="B50" s="107" t="s">
        <v>474</v>
      </c>
      <c r="C50" s="37" t="s">
        <v>466</v>
      </c>
      <c r="D50" s="96">
        <f>E3*1.5</f>
        <v>48000</v>
      </c>
      <c r="E50" s="97">
        <f t="shared" si="6"/>
        <v>48000</v>
      </c>
      <c r="F50" s="96">
        <v>0</v>
      </c>
      <c r="G50" s="91"/>
      <c r="H50" s="96">
        <f>I3*1.5</f>
        <v>48000</v>
      </c>
      <c r="I50" s="97">
        <f t="shared" si="7"/>
        <v>48000</v>
      </c>
      <c r="J50" s="96">
        <v>0</v>
      </c>
    </row>
    <row r="51" spans="1:10">
      <c r="A51" s="25"/>
      <c r="B51" s="107" t="s">
        <v>475</v>
      </c>
      <c r="C51" s="37" t="s">
        <v>467</v>
      </c>
      <c r="D51" s="96"/>
      <c r="E51" s="97">
        <f t="shared" si="6"/>
        <v>-51153</v>
      </c>
      <c r="F51" s="96">
        <f>D3*1.5</f>
        <v>51153</v>
      </c>
      <c r="G51" s="91"/>
      <c r="H51" s="96"/>
      <c r="I51" s="97">
        <f t="shared" si="7"/>
        <v>-51750</v>
      </c>
      <c r="J51" s="96">
        <f>H3*1.5</f>
        <v>51750</v>
      </c>
    </row>
    <row r="52" spans="1:10">
      <c r="A52" s="25"/>
      <c r="B52" s="107" t="s">
        <v>476</v>
      </c>
      <c r="C52" s="37" t="s">
        <v>638</v>
      </c>
      <c r="D52" s="96">
        <f>F3*1.5</f>
        <v>51750</v>
      </c>
      <c r="E52" s="97">
        <f t="shared" si="6"/>
        <v>51750</v>
      </c>
      <c r="F52" s="96">
        <v>0</v>
      </c>
      <c r="G52" s="91"/>
      <c r="H52" s="96">
        <f>J3*1.5</f>
        <v>51750</v>
      </c>
      <c r="I52" s="97">
        <f t="shared" si="7"/>
        <v>51750</v>
      </c>
      <c r="J52" s="96">
        <v>0</v>
      </c>
    </row>
    <row r="53" spans="1:10">
      <c r="A53" s="25"/>
      <c r="B53" s="107" t="s">
        <v>477</v>
      </c>
      <c r="C53" s="37" t="s">
        <v>639</v>
      </c>
      <c r="D53" s="96"/>
      <c r="E53" s="97">
        <f t="shared" si="6"/>
        <v>-51750</v>
      </c>
      <c r="F53" s="96">
        <f>F3*1.5</f>
        <v>51750</v>
      </c>
      <c r="G53" s="91"/>
      <c r="H53" s="96"/>
      <c r="I53" s="97">
        <f t="shared" si="7"/>
        <v>-51750</v>
      </c>
      <c r="J53" s="96">
        <f>J3*1.5</f>
        <v>51750</v>
      </c>
    </row>
    <row r="54" spans="1:10">
      <c r="A54" s="25" t="s">
        <v>62</v>
      </c>
      <c r="B54" s="107" t="s">
        <v>478</v>
      </c>
      <c r="C54" s="37" t="s">
        <v>479</v>
      </c>
      <c r="D54" s="22">
        <v>0</v>
      </c>
      <c r="E54" s="21">
        <f t="shared" si="6"/>
        <v>0</v>
      </c>
      <c r="F54" s="22">
        <v>0</v>
      </c>
      <c r="G54" s="91"/>
      <c r="H54" s="22">
        <v>0</v>
      </c>
      <c r="I54" s="21">
        <f t="shared" si="7"/>
        <v>0</v>
      </c>
      <c r="J54" s="22">
        <v>0</v>
      </c>
    </row>
    <row r="55" spans="1:10">
      <c r="A55" s="25"/>
      <c r="B55" s="109" t="s">
        <v>481</v>
      </c>
      <c r="C55" s="37" t="s">
        <v>480</v>
      </c>
      <c r="D55" s="22">
        <v>0</v>
      </c>
      <c r="E55" s="21">
        <f t="shared" si="6"/>
        <v>0</v>
      </c>
      <c r="F55" s="22">
        <v>0</v>
      </c>
      <c r="G55" s="91"/>
      <c r="H55" s="22">
        <v>0</v>
      </c>
      <c r="I55" s="21">
        <f t="shared" si="7"/>
        <v>0</v>
      </c>
      <c r="J55" s="22">
        <v>0</v>
      </c>
    </row>
    <row r="56" spans="1:10">
      <c r="A56" s="23" t="s">
        <v>63</v>
      </c>
      <c r="B56" s="106"/>
      <c r="C56" s="24" t="s">
        <v>64</v>
      </c>
      <c r="D56" s="17">
        <f>SUM(D57:D66)</f>
        <v>199500</v>
      </c>
      <c r="E56" s="18">
        <f>SUM(E57:E66)</f>
        <v>0</v>
      </c>
      <c r="F56" s="17">
        <f>SUM(F57:F66)</f>
        <v>199500</v>
      </c>
      <c r="H56" s="17">
        <f>SUM(H57:H66)</f>
        <v>199500</v>
      </c>
      <c r="I56" s="18">
        <f>SUM(I57:I66)</f>
        <v>0</v>
      </c>
      <c r="J56" s="17">
        <f>SUM(J57:J66)</f>
        <v>199500</v>
      </c>
    </row>
    <row r="57" spans="1:10">
      <c r="A57" s="25" t="s">
        <v>65</v>
      </c>
      <c r="B57" s="107" t="s">
        <v>482</v>
      </c>
      <c r="C57" s="20" t="s">
        <v>468</v>
      </c>
      <c r="D57" s="96">
        <v>0</v>
      </c>
      <c r="E57" s="97">
        <f t="shared" ref="E57:E66" si="8">-F57+D57</f>
        <v>0</v>
      </c>
      <c r="F57" s="96">
        <v>0</v>
      </c>
      <c r="G57" s="91"/>
      <c r="H57" s="96">
        <v>0</v>
      </c>
      <c r="I57" s="97">
        <f t="shared" ref="I57:I66" si="9">-J57+H57</f>
        <v>0</v>
      </c>
      <c r="J57" s="96">
        <v>0</v>
      </c>
    </row>
    <row r="58" spans="1:10">
      <c r="A58" s="25"/>
      <c r="B58" s="107" t="s">
        <v>483</v>
      </c>
      <c r="C58" s="20" t="s">
        <v>469</v>
      </c>
      <c r="D58" s="96">
        <v>0</v>
      </c>
      <c r="E58" s="97">
        <f t="shared" si="8"/>
        <v>0</v>
      </c>
      <c r="F58" s="96">
        <v>0</v>
      </c>
      <c r="G58" s="91"/>
      <c r="H58" s="96">
        <v>0</v>
      </c>
      <c r="I58" s="97">
        <f t="shared" si="9"/>
        <v>0</v>
      </c>
      <c r="J58" s="96">
        <v>0</v>
      </c>
    </row>
    <row r="59" spans="1:10">
      <c r="A59" s="25" t="s">
        <v>66</v>
      </c>
      <c r="B59" s="107" t="s">
        <v>484</v>
      </c>
      <c r="C59" s="20" t="s">
        <v>636</v>
      </c>
      <c r="D59" s="96">
        <v>0</v>
      </c>
      <c r="E59" s="97">
        <f t="shared" si="8"/>
        <v>0</v>
      </c>
      <c r="F59" s="96">
        <v>0</v>
      </c>
      <c r="G59" s="91"/>
      <c r="H59" s="96">
        <v>0</v>
      </c>
      <c r="I59" s="97">
        <f t="shared" si="9"/>
        <v>0</v>
      </c>
      <c r="J59" s="96">
        <v>0</v>
      </c>
    </row>
    <row r="60" spans="1:10">
      <c r="A60" s="25"/>
      <c r="B60" s="107" t="s">
        <v>485</v>
      </c>
      <c r="C60" s="20" t="s">
        <v>637</v>
      </c>
      <c r="D60" s="26">
        <v>0</v>
      </c>
      <c r="E60" s="39">
        <f t="shared" si="8"/>
        <v>0</v>
      </c>
      <c r="F60" s="26">
        <v>0</v>
      </c>
      <c r="G60" s="91"/>
      <c r="H60" s="26">
        <v>0</v>
      </c>
      <c r="I60" s="39">
        <f t="shared" si="9"/>
        <v>0</v>
      </c>
      <c r="J60" s="26">
        <v>0</v>
      </c>
    </row>
    <row r="61" spans="1:10">
      <c r="A61" s="25" t="s">
        <v>67</v>
      </c>
      <c r="B61" s="107" t="s">
        <v>486</v>
      </c>
      <c r="C61" s="37" t="s">
        <v>466</v>
      </c>
      <c r="D61" s="26">
        <f>E3*3</f>
        <v>96000</v>
      </c>
      <c r="E61" s="39">
        <f t="shared" si="8"/>
        <v>96000</v>
      </c>
      <c r="F61" s="26">
        <v>0</v>
      </c>
      <c r="G61" s="91"/>
      <c r="H61" s="26">
        <f>I3*3</f>
        <v>96000</v>
      </c>
      <c r="I61" s="39">
        <f t="shared" si="9"/>
        <v>96000</v>
      </c>
      <c r="J61" s="26">
        <v>0</v>
      </c>
    </row>
    <row r="62" spans="1:10">
      <c r="A62" s="25"/>
      <c r="B62" s="107" t="s">
        <v>487</v>
      </c>
      <c r="C62" s="37" t="s">
        <v>467</v>
      </c>
      <c r="D62" s="26"/>
      <c r="E62" s="39">
        <f t="shared" si="8"/>
        <v>-96000</v>
      </c>
      <c r="F62" s="26">
        <f>E3*3</f>
        <v>96000</v>
      </c>
      <c r="G62" s="91"/>
      <c r="H62" s="26"/>
      <c r="I62" s="39">
        <f t="shared" si="9"/>
        <v>-96000</v>
      </c>
      <c r="J62" s="26">
        <f>I3*3</f>
        <v>96000</v>
      </c>
    </row>
    <row r="63" spans="1:10">
      <c r="A63" s="25"/>
      <c r="B63" s="107" t="s">
        <v>488</v>
      </c>
      <c r="C63" s="37" t="s">
        <v>638</v>
      </c>
      <c r="D63" s="26">
        <f>F3*3</f>
        <v>103500</v>
      </c>
      <c r="E63" s="39">
        <f t="shared" si="8"/>
        <v>103500</v>
      </c>
      <c r="F63" s="26">
        <v>0</v>
      </c>
      <c r="G63" s="91"/>
      <c r="H63" s="26">
        <f>J3*3</f>
        <v>103500</v>
      </c>
      <c r="I63" s="39">
        <f t="shared" si="9"/>
        <v>103500</v>
      </c>
      <c r="J63" s="26">
        <v>0</v>
      </c>
    </row>
    <row r="64" spans="1:10">
      <c r="A64" s="25"/>
      <c r="B64" s="107" t="s">
        <v>489</v>
      </c>
      <c r="C64" s="37" t="s">
        <v>639</v>
      </c>
      <c r="D64" s="26"/>
      <c r="E64" s="39">
        <f t="shared" si="8"/>
        <v>-103500</v>
      </c>
      <c r="F64" s="26">
        <f>F3*3</f>
        <v>103500</v>
      </c>
      <c r="G64" s="91"/>
      <c r="H64" s="26"/>
      <c r="I64" s="39">
        <f t="shared" si="9"/>
        <v>-103500</v>
      </c>
      <c r="J64" s="26">
        <f>J3*3</f>
        <v>103500</v>
      </c>
    </row>
    <row r="65" spans="1:10">
      <c r="A65" s="25" t="s">
        <v>68</v>
      </c>
      <c r="B65" s="107" t="s">
        <v>490</v>
      </c>
      <c r="C65" s="37" t="s">
        <v>479</v>
      </c>
      <c r="D65" s="26">
        <v>0</v>
      </c>
      <c r="E65" s="39">
        <f t="shared" si="8"/>
        <v>0</v>
      </c>
      <c r="F65" s="26">
        <v>0</v>
      </c>
      <c r="G65" s="91"/>
      <c r="H65" s="26">
        <v>0</v>
      </c>
      <c r="I65" s="39">
        <f t="shared" si="9"/>
        <v>0</v>
      </c>
      <c r="J65" s="26">
        <v>0</v>
      </c>
    </row>
    <row r="66" spans="1:10">
      <c r="A66" s="25"/>
      <c r="B66" s="107" t="s">
        <v>491</v>
      </c>
      <c r="C66" s="37" t="s">
        <v>480</v>
      </c>
      <c r="D66" s="22">
        <v>0</v>
      </c>
      <c r="E66" s="21">
        <f t="shared" si="8"/>
        <v>0</v>
      </c>
      <c r="F66" s="22">
        <v>0</v>
      </c>
      <c r="G66" s="91"/>
      <c r="H66" s="22">
        <v>0</v>
      </c>
      <c r="I66" s="21">
        <f t="shared" si="9"/>
        <v>0</v>
      </c>
      <c r="J66" s="22">
        <v>0</v>
      </c>
    </row>
    <row r="67" spans="1:10">
      <c r="A67" s="27" t="s">
        <v>69</v>
      </c>
      <c r="B67" s="108"/>
      <c r="C67" s="16" t="s">
        <v>70</v>
      </c>
      <c r="D67" s="17">
        <f>SUM(D68:D76)</f>
        <v>0</v>
      </c>
      <c r="E67" s="18">
        <f>SUM(E68:E76)</f>
        <v>0</v>
      </c>
      <c r="F67" s="17">
        <f>SUM(F68:F76)</f>
        <v>0</v>
      </c>
      <c r="H67" s="17">
        <f>SUM(H68:H76)</f>
        <v>0</v>
      </c>
      <c r="I67" s="18">
        <f>SUM(I68:I76)</f>
        <v>0</v>
      </c>
      <c r="J67" s="17">
        <f>SUM(J68:J76)</f>
        <v>0</v>
      </c>
    </row>
    <row r="68" spans="1:10">
      <c r="A68" s="25" t="s">
        <v>71</v>
      </c>
      <c r="B68" s="107" t="s">
        <v>492</v>
      </c>
      <c r="C68" s="20" t="s">
        <v>468</v>
      </c>
      <c r="D68" s="22">
        <v>0</v>
      </c>
      <c r="E68" s="21">
        <f t="shared" ref="E68:E76" si="10">-F68+D68</f>
        <v>0</v>
      </c>
      <c r="F68" s="22">
        <v>0</v>
      </c>
      <c r="G68" s="91"/>
      <c r="H68" s="22">
        <v>0</v>
      </c>
      <c r="I68" s="21">
        <f t="shared" ref="I68:I76" si="11">-J68+H68</f>
        <v>0</v>
      </c>
      <c r="J68" s="22">
        <v>0</v>
      </c>
    </row>
    <row r="69" spans="1:10">
      <c r="A69" s="25"/>
      <c r="B69" s="107"/>
      <c r="C69" s="20" t="s">
        <v>640</v>
      </c>
      <c r="D69" s="22">
        <v>0</v>
      </c>
      <c r="E69" s="21">
        <f t="shared" si="10"/>
        <v>0</v>
      </c>
      <c r="F69" s="22">
        <v>0</v>
      </c>
      <c r="G69" s="91"/>
      <c r="H69" s="22">
        <v>0</v>
      </c>
      <c r="I69" s="21">
        <f t="shared" si="11"/>
        <v>0</v>
      </c>
      <c r="J69" s="22">
        <v>0</v>
      </c>
    </row>
    <row r="70" spans="1:10">
      <c r="A70" s="25" t="s">
        <v>72</v>
      </c>
      <c r="B70" s="107" t="s">
        <v>493</v>
      </c>
      <c r="C70" s="20" t="s">
        <v>636</v>
      </c>
      <c r="D70" s="26">
        <v>0</v>
      </c>
      <c r="E70" s="21">
        <f t="shared" si="10"/>
        <v>0</v>
      </c>
      <c r="F70" s="22">
        <v>0</v>
      </c>
      <c r="G70" s="91"/>
      <c r="H70" s="26">
        <v>0</v>
      </c>
      <c r="I70" s="21">
        <f t="shared" si="11"/>
        <v>0</v>
      </c>
      <c r="J70" s="22">
        <v>0</v>
      </c>
    </row>
    <row r="71" spans="1:10">
      <c r="A71" s="25" t="s">
        <v>73</v>
      </c>
      <c r="B71" s="107" t="s">
        <v>494</v>
      </c>
      <c r="C71" s="20" t="s">
        <v>466</v>
      </c>
      <c r="D71" s="22">
        <v>0</v>
      </c>
      <c r="E71" s="21">
        <f t="shared" si="10"/>
        <v>0</v>
      </c>
      <c r="F71" s="22">
        <v>0</v>
      </c>
      <c r="G71" s="91"/>
      <c r="H71" s="22">
        <v>0</v>
      </c>
      <c r="I71" s="21">
        <f t="shared" si="11"/>
        <v>0</v>
      </c>
      <c r="J71" s="22">
        <v>0</v>
      </c>
    </row>
    <row r="72" spans="1:10">
      <c r="A72" s="25"/>
      <c r="B72" s="107"/>
      <c r="C72" s="20" t="s">
        <v>467</v>
      </c>
      <c r="D72" s="22">
        <v>0</v>
      </c>
      <c r="E72" s="21">
        <f t="shared" si="10"/>
        <v>0</v>
      </c>
      <c r="F72" s="22">
        <v>0</v>
      </c>
      <c r="G72" s="91"/>
      <c r="H72" s="22">
        <v>0</v>
      </c>
      <c r="I72" s="21">
        <f t="shared" si="11"/>
        <v>0</v>
      </c>
      <c r="J72" s="22">
        <v>0</v>
      </c>
    </row>
    <row r="73" spans="1:10">
      <c r="A73" s="25"/>
      <c r="B73" s="107"/>
      <c r="C73" s="20" t="s">
        <v>638</v>
      </c>
      <c r="D73" s="22">
        <v>0</v>
      </c>
      <c r="E73" s="21">
        <f t="shared" si="10"/>
        <v>0</v>
      </c>
      <c r="F73" s="22">
        <v>0</v>
      </c>
      <c r="G73" s="91"/>
      <c r="H73" s="22">
        <v>0</v>
      </c>
      <c r="I73" s="21">
        <f t="shared" si="11"/>
        <v>0</v>
      </c>
      <c r="J73" s="22">
        <v>0</v>
      </c>
    </row>
    <row r="74" spans="1:10">
      <c r="A74" s="25"/>
      <c r="B74" s="107"/>
      <c r="C74" s="20" t="s">
        <v>639</v>
      </c>
      <c r="D74" s="22">
        <v>0</v>
      </c>
      <c r="E74" s="21">
        <f t="shared" si="10"/>
        <v>0</v>
      </c>
      <c r="F74" s="22">
        <v>0</v>
      </c>
      <c r="G74" s="91"/>
      <c r="H74" s="22">
        <v>0</v>
      </c>
      <c r="I74" s="21">
        <f t="shared" si="11"/>
        <v>0</v>
      </c>
      <c r="J74" s="22">
        <v>0</v>
      </c>
    </row>
    <row r="75" spans="1:10">
      <c r="A75" s="25" t="s">
        <v>74</v>
      </c>
      <c r="B75" s="107" t="s">
        <v>495</v>
      </c>
      <c r="C75" s="20" t="s">
        <v>479</v>
      </c>
      <c r="D75" s="22">
        <v>0</v>
      </c>
      <c r="E75" s="21">
        <f t="shared" si="10"/>
        <v>0</v>
      </c>
      <c r="F75" s="22">
        <v>0</v>
      </c>
      <c r="G75" s="91"/>
      <c r="H75" s="22">
        <v>0</v>
      </c>
      <c r="I75" s="21">
        <f t="shared" si="11"/>
        <v>0</v>
      </c>
      <c r="J75" s="22">
        <v>0</v>
      </c>
    </row>
    <row r="76" spans="1:10">
      <c r="A76" s="25" t="s">
        <v>74</v>
      </c>
      <c r="B76" s="107"/>
      <c r="C76" s="20" t="s">
        <v>480</v>
      </c>
      <c r="D76" s="22">
        <v>0</v>
      </c>
      <c r="E76" s="21">
        <f t="shared" si="10"/>
        <v>0</v>
      </c>
      <c r="F76" s="22">
        <v>0</v>
      </c>
      <c r="G76" s="91"/>
      <c r="H76" s="22">
        <v>0</v>
      </c>
      <c r="I76" s="21">
        <f t="shared" si="11"/>
        <v>0</v>
      </c>
      <c r="J76" s="22">
        <v>0</v>
      </c>
    </row>
    <row r="77" spans="1:10">
      <c r="A77" s="27" t="s">
        <v>75</v>
      </c>
      <c r="B77" s="108"/>
      <c r="C77" s="16" t="s">
        <v>76</v>
      </c>
      <c r="D77" s="17">
        <f>SUM(D78:D87)</f>
        <v>31701</v>
      </c>
      <c r="E77" s="18">
        <f>SUM(E78:E87)</f>
        <v>-42092.380000000005</v>
      </c>
      <c r="F77" s="17">
        <f>SUM(F78:F87)</f>
        <v>73793.38</v>
      </c>
      <c r="H77" s="17">
        <f>SUM(H78:H87)</f>
        <v>42250</v>
      </c>
      <c r="I77" s="18">
        <f>SUM(I78:I87)</f>
        <v>-52442.380000000005</v>
      </c>
      <c r="J77" s="17">
        <f>SUM(J78:J87)</f>
        <v>94692.38</v>
      </c>
    </row>
    <row r="78" spans="1:10">
      <c r="A78" s="25" t="s">
        <v>77</v>
      </c>
      <c r="B78" s="107" t="s">
        <v>496</v>
      </c>
      <c r="C78" s="20" t="s">
        <v>468</v>
      </c>
      <c r="D78" s="96">
        <f>0.5*D3</f>
        <v>17051</v>
      </c>
      <c r="E78" s="21">
        <f t="shared" ref="E78:E87" si="12">-F78+D78</f>
        <v>17051</v>
      </c>
      <c r="F78" s="22">
        <v>0</v>
      </c>
      <c r="G78" s="91"/>
      <c r="H78" s="96">
        <f>0.5*H3</f>
        <v>17250</v>
      </c>
      <c r="I78" s="21">
        <f t="shared" ref="I78" si="13">-J78+H78</f>
        <v>17250</v>
      </c>
      <c r="J78" s="22">
        <v>0</v>
      </c>
    </row>
    <row r="79" spans="1:10">
      <c r="A79" s="25"/>
      <c r="B79" s="107" t="s">
        <v>641</v>
      </c>
      <c r="C79" s="20" t="s">
        <v>469</v>
      </c>
      <c r="D79" s="26">
        <v>0</v>
      </c>
      <c r="E79" s="39">
        <f>-F79+D79</f>
        <v>-59143.380000000005</v>
      </c>
      <c r="F79" s="26">
        <f>D78+D80+D82+D84+27442.38</f>
        <v>59143.380000000005</v>
      </c>
      <c r="G79" s="91"/>
      <c r="H79" s="26">
        <v>0</v>
      </c>
      <c r="I79" s="39">
        <f>-J79+H79</f>
        <v>-69692.38</v>
      </c>
      <c r="J79" s="26">
        <f>H78+H80+H82+H84+27442.38</f>
        <v>69692.38</v>
      </c>
    </row>
    <row r="80" spans="1:10">
      <c r="A80" s="25" t="s">
        <v>78</v>
      </c>
      <c r="B80" s="107" t="s">
        <v>498</v>
      </c>
      <c r="C80" s="20" t="s">
        <v>636</v>
      </c>
      <c r="D80" s="96">
        <v>0</v>
      </c>
      <c r="E80" s="21">
        <f>-F80+D80</f>
        <v>0</v>
      </c>
      <c r="F80" s="22">
        <v>0</v>
      </c>
      <c r="G80" s="91"/>
      <c r="H80" s="96">
        <v>0</v>
      </c>
      <c r="I80" s="21">
        <f>-J80+H80</f>
        <v>0</v>
      </c>
      <c r="J80" s="22">
        <v>0</v>
      </c>
    </row>
    <row r="81" spans="1:10">
      <c r="A81" s="36"/>
      <c r="B81" s="112" t="s">
        <v>499</v>
      </c>
      <c r="C81" s="20" t="s">
        <v>637</v>
      </c>
      <c r="D81" s="98">
        <v>0</v>
      </c>
      <c r="E81" s="21">
        <f t="shared" si="12"/>
        <v>0</v>
      </c>
      <c r="F81" s="22">
        <v>0</v>
      </c>
      <c r="G81" s="91"/>
      <c r="H81" s="98">
        <v>0</v>
      </c>
      <c r="I81" s="21">
        <f t="shared" ref="I81:I85" si="14">-J81+H81</f>
        <v>0</v>
      </c>
      <c r="J81" s="22">
        <v>0</v>
      </c>
    </row>
    <row r="82" spans="1:10">
      <c r="A82" s="36" t="s">
        <v>79</v>
      </c>
      <c r="B82" s="112" t="s">
        <v>500</v>
      </c>
      <c r="C82" s="37" t="s">
        <v>466</v>
      </c>
      <c r="D82" s="38">
        <f>E3*0.35</f>
        <v>11200</v>
      </c>
      <c r="E82" s="39">
        <f t="shared" si="12"/>
        <v>11200</v>
      </c>
      <c r="F82" s="26">
        <v>0</v>
      </c>
      <c r="G82" s="64"/>
      <c r="H82" s="38">
        <f>I3*0.35</f>
        <v>11200</v>
      </c>
      <c r="I82" s="39">
        <f t="shared" si="14"/>
        <v>11200</v>
      </c>
      <c r="J82" s="26">
        <v>0</v>
      </c>
    </row>
    <row r="83" spans="1:10">
      <c r="A83" s="36"/>
      <c r="B83" s="112" t="s">
        <v>501</v>
      </c>
      <c r="C83" s="37" t="s">
        <v>467</v>
      </c>
      <c r="D83" s="38">
        <v>0</v>
      </c>
      <c r="E83" s="39">
        <f t="shared" si="12"/>
        <v>-11200</v>
      </c>
      <c r="F83" s="26">
        <f>E3*0.35</f>
        <v>11200</v>
      </c>
      <c r="G83" s="64"/>
      <c r="H83" s="38">
        <v>0</v>
      </c>
      <c r="I83" s="39">
        <f t="shared" si="14"/>
        <v>-11200</v>
      </c>
      <c r="J83" s="26">
        <f>I3*0.35</f>
        <v>11200</v>
      </c>
    </row>
    <row r="84" spans="1:10">
      <c r="A84" s="168"/>
      <c r="B84" s="169" t="s">
        <v>502</v>
      </c>
      <c r="C84" s="170" t="s">
        <v>638</v>
      </c>
      <c r="D84" s="171">
        <f>F3*0.1</f>
        <v>3450</v>
      </c>
      <c r="E84" s="163">
        <f t="shared" si="12"/>
        <v>3450</v>
      </c>
      <c r="F84" s="162">
        <v>0</v>
      </c>
      <c r="G84" s="91"/>
      <c r="H84" s="38">
        <f>J3*0.4</f>
        <v>13800</v>
      </c>
      <c r="I84" s="39">
        <f t="shared" si="14"/>
        <v>13800</v>
      </c>
      <c r="J84" s="26">
        <v>0</v>
      </c>
    </row>
    <row r="85" spans="1:10">
      <c r="A85" s="168"/>
      <c r="B85" s="169" t="s">
        <v>503</v>
      </c>
      <c r="C85" s="170" t="s">
        <v>639</v>
      </c>
      <c r="D85" s="171">
        <v>0</v>
      </c>
      <c r="E85" s="163">
        <f t="shared" si="12"/>
        <v>-3450</v>
      </c>
      <c r="F85" s="162">
        <f>F3*0.1</f>
        <v>3450</v>
      </c>
      <c r="G85" s="91"/>
      <c r="H85" s="38">
        <v>0</v>
      </c>
      <c r="I85" s="39">
        <f t="shared" si="14"/>
        <v>-13800</v>
      </c>
      <c r="J85" s="26">
        <f>J3*0.4</f>
        <v>13800</v>
      </c>
    </row>
    <row r="86" spans="1:10">
      <c r="A86" s="36" t="s">
        <v>80</v>
      </c>
      <c r="B86" s="112" t="s">
        <v>497</v>
      </c>
      <c r="C86" s="37" t="s">
        <v>479</v>
      </c>
      <c r="D86" s="38">
        <v>0</v>
      </c>
      <c r="E86" s="39">
        <f>-F86+D86</f>
        <v>0</v>
      </c>
      <c r="F86" s="26">
        <v>0</v>
      </c>
      <c r="G86" s="91"/>
      <c r="H86" s="38">
        <v>0</v>
      </c>
      <c r="I86" s="39">
        <f>-J86+H86</f>
        <v>0</v>
      </c>
      <c r="J86" s="26">
        <v>0</v>
      </c>
    </row>
    <row r="87" spans="1:10">
      <c r="A87" s="36"/>
      <c r="B87" s="112"/>
      <c r="C87" s="37" t="s">
        <v>480</v>
      </c>
      <c r="D87" s="38">
        <v>0</v>
      </c>
      <c r="E87" s="21">
        <f t="shared" si="12"/>
        <v>0</v>
      </c>
      <c r="F87" s="38">
        <v>0</v>
      </c>
      <c r="G87" s="91"/>
      <c r="H87" s="38">
        <v>0</v>
      </c>
      <c r="I87" s="21">
        <f t="shared" ref="I87" si="15">-J87+H87</f>
        <v>0</v>
      </c>
      <c r="J87" s="38">
        <v>0</v>
      </c>
    </row>
    <row r="88" spans="1:10">
      <c r="A88" s="27" t="s">
        <v>81</v>
      </c>
      <c r="B88" s="108"/>
      <c r="C88" s="16" t="s">
        <v>82</v>
      </c>
      <c r="D88" s="17">
        <f>SUM(D89:D98)</f>
        <v>102500</v>
      </c>
      <c r="E88" s="18">
        <f>SUM(E89:E98)</f>
        <v>-500</v>
      </c>
      <c r="F88" s="17">
        <f>SUM(F89:F98)</f>
        <v>103000</v>
      </c>
      <c r="H88" s="17">
        <f>SUM(H89:H98)</f>
        <v>102500</v>
      </c>
      <c r="I88" s="18">
        <f>SUM(I89:I98)</f>
        <v>-500</v>
      </c>
      <c r="J88" s="17">
        <f>SUM(J89:J98)</f>
        <v>103000</v>
      </c>
    </row>
    <row r="89" spans="1:10">
      <c r="A89" s="25" t="s">
        <v>83</v>
      </c>
      <c r="B89" s="107" t="s">
        <v>460</v>
      </c>
      <c r="C89" s="20" t="s">
        <v>468</v>
      </c>
      <c r="D89" s="96">
        <v>36000</v>
      </c>
      <c r="E89" s="97">
        <f t="shared" ref="E89:E98" si="16">-F89+D89</f>
        <v>36000</v>
      </c>
      <c r="F89" s="96">
        <f>D96</f>
        <v>0</v>
      </c>
      <c r="G89" s="91"/>
      <c r="H89" s="96">
        <v>36000</v>
      </c>
      <c r="I89" s="97">
        <f t="shared" ref="I89:I98" si="17">-J89+H89</f>
        <v>36000</v>
      </c>
      <c r="J89" s="96">
        <f>H96</f>
        <v>0</v>
      </c>
    </row>
    <row r="90" spans="1:10">
      <c r="A90" s="25"/>
      <c r="B90" s="107" t="s">
        <v>504</v>
      </c>
      <c r="C90" s="20" t="s">
        <v>469</v>
      </c>
      <c r="D90" s="96">
        <v>0</v>
      </c>
      <c r="E90" s="97">
        <f t="shared" si="16"/>
        <v>-35000</v>
      </c>
      <c r="F90" s="96">
        <v>35000</v>
      </c>
      <c r="G90" s="91"/>
      <c r="H90" s="96">
        <v>0</v>
      </c>
      <c r="I90" s="97">
        <f t="shared" si="17"/>
        <v>-35000</v>
      </c>
      <c r="J90" s="96">
        <v>35000</v>
      </c>
    </row>
    <row r="91" spans="1:10">
      <c r="A91" s="25" t="s">
        <v>84</v>
      </c>
      <c r="B91" s="107" t="s">
        <v>505</v>
      </c>
      <c r="C91" s="20" t="s">
        <v>636</v>
      </c>
      <c r="D91" s="96">
        <v>0</v>
      </c>
      <c r="E91" s="97">
        <f t="shared" si="16"/>
        <v>0</v>
      </c>
      <c r="F91" s="26">
        <v>0</v>
      </c>
      <c r="G91" s="91"/>
      <c r="H91" s="96">
        <v>0</v>
      </c>
      <c r="I91" s="97">
        <f t="shared" si="17"/>
        <v>0</v>
      </c>
      <c r="J91" s="26">
        <v>0</v>
      </c>
    </row>
    <row r="92" spans="1:10">
      <c r="A92" s="25"/>
      <c r="B92" s="107" t="s">
        <v>506</v>
      </c>
      <c r="C92" s="20" t="s">
        <v>637</v>
      </c>
      <c r="D92" s="96">
        <v>0</v>
      </c>
      <c r="E92" s="97">
        <f t="shared" si="16"/>
        <v>-36000</v>
      </c>
      <c r="F92" s="26">
        <v>36000</v>
      </c>
      <c r="G92" s="91"/>
      <c r="H92" s="96">
        <v>0</v>
      </c>
      <c r="I92" s="97">
        <f t="shared" si="17"/>
        <v>-36000</v>
      </c>
      <c r="J92" s="26">
        <v>36000</v>
      </c>
    </row>
    <row r="93" spans="1:10">
      <c r="A93" s="25" t="s">
        <v>85</v>
      </c>
      <c r="B93" s="107" t="s">
        <v>507</v>
      </c>
      <c r="C93" s="37" t="s">
        <v>466</v>
      </c>
      <c r="D93" s="96">
        <f>E3*1</f>
        <v>32000</v>
      </c>
      <c r="E93" s="97">
        <f t="shared" si="16"/>
        <v>32000</v>
      </c>
      <c r="F93" s="26">
        <v>0</v>
      </c>
      <c r="G93" s="91"/>
      <c r="H93" s="96">
        <f>I3*1</f>
        <v>32000</v>
      </c>
      <c r="I93" s="97">
        <f t="shared" si="17"/>
        <v>32000</v>
      </c>
      <c r="J93" s="26">
        <v>0</v>
      </c>
    </row>
    <row r="94" spans="1:10">
      <c r="A94" s="25"/>
      <c r="B94" s="107" t="s">
        <v>508</v>
      </c>
      <c r="C94" s="37" t="s">
        <v>467</v>
      </c>
      <c r="D94" s="96">
        <v>0</v>
      </c>
      <c r="E94" s="97">
        <f t="shared" si="16"/>
        <v>-32000</v>
      </c>
      <c r="F94" s="26">
        <f>E3*1</f>
        <v>32000</v>
      </c>
      <c r="G94" s="91"/>
      <c r="H94" s="96">
        <v>0</v>
      </c>
      <c r="I94" s="97">
        <f t="shared" si="17"/>
        <v>-32000</v>
      </c>
      <c r="J94" s="26">
        <f>I3*1</f>
        <v>32000</v>
      </c>
    </row>
    <row r="95" spans="1:10">
      <c r="A95" s="25"/>
      <c r="B95" s="107" t="s">
        <v>509</v>
      </c>
      <c r="C95" s="37" t="s">
        <v>638</v>
      </c>
      <c r="D95" s="96">
        <f>F3*1</f>
        <v>34500</v>
      </c>
      <c r="E95" s="97">
        <f t="shared" si="16"/>
        <v>34500</v>
      </c>
      <c r="F95" s="26">
        <v>0</v>
      </c>
      <c r="G95" s="91"/>
      <c r="H95" s="96">
        <f>J3*1</f>
        <v>34500</v>
      </c>
      <c r="I95" s="97">
        <f t="shared" si="17"/>
        <v>34500</v>
      </c>
      <c r="J95" s="26">
        <v>0</v>
      </c>
    </row>
    <row r="96" spans="1:10">
      <c r="A96" s="36"/>
      <c r="B96" s="112" t="s">
        <v>510</v>
      </c>
      <c r="C96" s="37" t="s">
        <v>639</v>
      </c>
      <c r="D96" s="98">
        <v>0</v>
      </c>
      <c r="E96" s="97">
        <f t="shared" si="16"/>
        <v>0</v>
      </c>
      <c r="F96" s="26">
        <v>0</v>
      </c>
      <c r="G96" s="91"/>
      <c r="H96" s="98">
        <v>0</v>
      </c>
      <c r="I96" s="97">
        <f t="shared" si="17"/>
        <v>0</v>
      </c>
      <c r="J96" s="26">
        <v>0</v>
      </c>
    </row>
    <row r="97" spans="1:10">
      <c r="A97" s="36" t="s">
        <v>86</v>
      </c>
      <c r="B97" s="112" t="s">
        <v>511</v>
      </c>
      <c r="C97" s="37" t="s">
        <v>479</v>
      </c>
      <c r="D97" s="98">
        <v>0</v>
      </c>
      <c r="E97" s="97">
        <f t="shared" si="16"/>
        <v>0</v>
      </c>
      <c r="F97" s="26">
        <v>0</v>
      </c>
      <c r="G97" s="91"/>
      <c r="H97" s="98">
        <v>0</v>
      </c>
      <c r="I97" s="97">
        <f t="shared" si="17"/>
        <v>0</v>
      </c>
      <c r="J97" s="26">
        <v>0</v>
      </c>
    </row>
    <row r="98" spans="1:10">
      <c r="A98" s="36"/>
      <c r="B98" s="112"/>
      <c r="C98" s="37" t="s">
        <v>480</v>
      </c>
      <c r="D98" s="38">
        <v>0</v>
      </c>
      <c r="E98" s="21">
        <f t="shared" si="16"/>
        <v>0</v>
      </c>
      <c r="F98" s="22">
        <v>0</v>
      </c>
      <c r="G98" s="91"/>
      <c r="H98" s="38">
        <v>0</v>
      </c>
      <c r="I98" s="21">
        <f t="shared" si="17"/>
        <v>0</v>
      </c>
      <c r="J98" s="22">
        <v>0</v>
      </c>
    </row>
    <row r="99" spans="1:10">
      <c r="A99" s="27" t="s">
        <v>440</v>
      </c>
      <c r="B99" s="108"/>
      <c r="C99" s="16" t="s">
        <v>441</v>
      </c>
      <c r="D99" s="17">
        <f>SUM(D100:D109)</f>
        <v>99750</v>
      </c>
      <c r="E99" s="18">
        <f>SUM(E100:E109)</f>
        <v>0</v>
      </c>
      <c r="F99" s="17">
        <f>SUM(F100:F109)</f>
        <v>99750</v>
      </c>
      <c r="H99" s="17">
        <f>SUM(H100:H109)</f>
        <v>99750</v>
      </c>
      <c r="I99" s="18">
        <f>SUM(I100:I109)</f>
        <v>0</v>
      </c>
      <c r="J99" s="17">
        <f>SUM(J100:J109)</f>
        <v>99750</v>
      </c>
    </row>
    <row r="100" spans="1:10">
      <c r="A100" s="25" t="s">
        <v>442</v>
      </c>
      <c r="B100" s="107" t="s">
        <v>512</v>
      </c>
      <c r="C100" s="20" t="s">
        <v>468</v>
      </c>
      <c r="D100" s="96">
        <v>0</v>
      </c>
      <c r="E100" s="97">
        <f t="shared" ref="E100:E109" si="18">-F100+D100</f>
        <v>0</v>
      </c>
      <c r="F100" s="96">
        <v>0</v>
      </c>
      <c r="G100" s="91"/>
      <c r="H100" s="96">
        <v>0</v>
      </c>
      <c r="I100" s="97">
        <f t="shared" ref="I100:I109" si="19">-J100+H100</f>
        <v>0</v>
      </c>
      <c r="J100" s="96">
        <v>0</v>
      </c>
    </row>
    <row r="101" spans="1:10">
      <c r="A101" s="25"/>
      <c r="B101" s="107" t="s">
        <v>642</v>
      </c>
      <c r="C101" s="20" t="s">
        <v>469</v>
      </c>
      <c r="D101" s="96">
        <v>0</v>
      </c>
      <c r="E101" s="97">
        <f t="shared" si="18"/>
        <v>0</v>
      </c>
      <c r="F101" s="96">
        <v>0</v>
      </c>
      <c r="G101" s="91"/>
      <c r="H101" s="96">
        <v>0</v>
      </c>
      <c r="I101" s="97">
        <f t="shared" si="19"/>
        <v>0</v>
      </c>
      <c r="J101" s="96">
        <v>0</v>
      </c>
    </row>
    <row r="102" spans="1:10">
      <c r="A102" s="25" t="s">
        <v>443</v>
      </c>
      <c r="B102" s="107" t="s">
        <v>643</v>
      </c>
      <c r="C102" s="20" t="s">
        <v>636</v>
      </c>
      <c r="D102" s="96">
        <v>0</v>
      </c>
      <c r="E102" s="97">
        <f t="shared" si="18"/>
        <v>0</v>
      </c>
      <c r="F102" s="96">
        <v>0</v>
      </c>
      <c r="G102" s="91"/>
      <c r="H102" s="96">
        <v>0</v>
      </c>
      <c r="I102" s="97">
        <f t="shared" si="19"/>
        <v>0</v>
      </c>
      <c r="J102" s="96">
        <v>0</v>
      </c>
    </row>
    <row r="103" spans="1:10">
      <c r="A103" s="25"/>
      <c r="B103" s="107" t="s">
        <v>644</v>
      </c>
      <c r="C103" s="20" t="s">
        <v>637</v>
      </c>
      <c r="D103" s="96">
        <v>0</v>
      </c>
      <c r="E103" s="97">
        <f t="shared" si="18"/>
        <v>0</v>
      </c>
      <c r="F103" s="96">
        <v>0</v>
      </c>
      <c r="G103" s="91"/>
      <c r="H103" s="96">
        <v>0</v>
      </c>
      <c r="I103" s="97">
        <f t="shared" si="19"/>
        <v>0</v>
      </c>
      <c r="J103" s="96">
        <v>0</v>
      </c>
    </row>
    <row r="104" spans="1:10">
      <c r="A104" s="25" t="s">
        <v>444</v>
      </c>
      <c r="B104" s="107" t="s">
        <v>645</v>
      </c>
      <c r="C104" s="37" t="s">
        <v>466</v>
      </c>
      <c r="D104" s="96">
        <f>1.5*E3</f>
        <v>48000</v>
      </c>
      <c r="E104" s="97">
        <f t="shared" si="18"/>
        <v>48000</v>
      </c>
      <c r="F104" s="96">
        <v>0</v>
      </c>
      <c r="G104" s="91"/>
      <c r="H104" s="96">
        <f>1.5*I3</f>
        <v>48000</v>
      </c>
      <c r="I104" s="97">
        <f t="shared" si="19"/>
        <v>48000</v>
      </c>
      <c r="J104" s="96">
        <v>0</v>
      </c>
    </row>
    <row r="105" spans="1:10">
      <c r="A105" s="93"/>
      <c r="B105" s="109" t="s">
        <v>646</v>
      </c>
      <c r="C105" s="37" t="s">
        <v>467</v>
      </c>
      <c r="D105" s="26">
        <v>0</v>
      </c>
      <c r="E105" s="39">
        <f t="shared" si="18"/>
        <v>-48000</v>
      </c>
      <c r="F105" s="26">
        <f>1.5*E3</f>
        <v>48000</v>
      </c>
      <c r="G105" s="91"/>
      <c r="H105" s="26">
        <v>0</v>
      </c>
      <c r="I105" s="39">
        <f t="shared" si="19"/>
        <v>-48000</v>
      </c>
      <c r="J105" s="26">
        <f>1.5*I3</f>
        <v>48000</v>
      </c>
    </row>
    <row r="106" spans="1:10">
      <c r="A106" s="25"/>
      <c r="B106" s="107" t="s">
        <v>647</v>
      </c>
      <c r="C106" s="37" t="s">
        <v>638</v>
      </c>
      <c r="D106" s="96">
        <f>1.5*F3</f>
        <v>51750</v>
      </c>
      <c r="E106" s="97">
        <f t="shared" si="18"/>
        <v>51750</v>
      </c>
      <c r="F106" s="26">
        <v>0</v>
      </c>
      <c r="G106" s="91"/>
      <c r="H106" s="96">
        <f>1.5*J3</f>
        <v>51750</v>
      </c>
      <c r="I106" s="97">
        <f t="shared" si="19"/>
        <v>51750</v>
      </c>
      <c r="J106" s="26">
        <v>0</v>
      </c>
    </row>
    <row r="107" spans="1:10">
      <c r="A107" s="36"/>
      <c r="B107" s="112" t="s">
        <v>648</v>
      </c>
      <c r="C107" s="37" t="s">
        <v>639</v>
      </c>
      <c r="D107" s="98">
        <v>0</v>
      </c>
      <c r="E107" s="97">
        <f t="shared" si="18"/>
        <v>-51750</v>
      </c>
      <c r="F107" s="96">
        <f>1.5*F3</f>
        <v>51750</v>
      </c>
      <c r="G107" s="91"/>
      <c r="H107" s="98">
        <v>0</v>
      </c>
      <c r="I107" s="97">
        <f t="shared" si="19"/>
        <v>-51750</v>
      </c>
      <c r="J107" s="96">
        <f>1.5*J3</f>
        <v>51750</v>
      </c>
    </row>
    <row r="108" spans="1:10">
      <c r="A108" s="36" t="s">
        <v>445</v>
      </c>
      <c r="B108" s="112" t="s">
        <v>497</v>
      </c>
      <c r="C108" s="37" t="s">
        <v>479</v>
      </c>
      <c r="D108" s="98">
        <v>0</v>
      </c>
      <c r="E108" s="97">
        <f t="shared" si="18"/>
        <v>0</v>
      </c>
      <c r="F108" s="96">
        <v>0</v>
      </c>
      <c r="G108" s="91"/>
      <c r="H108" s="98">
        <v>0</v>
      </c>
      <c r="I108" s="97">
        <f t="shared" si="19"/>
        <v>0</v>
      </c>
      <c r="J108" s="96">
        <v>0</v>
      </c>
    </row>
    <row r="109" spans="1:10">
      <c r="A109" s="36"/>
      <c r="B109" s="112" t="s">
        <v>519</v>
      </c>
      <c r="C109" s="37" t="s">
        <v>480</v>
      </c>
      <c r="D109" s="38">
        <v>0</v>
      </c>
      <c r="E109" s="21">
        <f t="shared" si="18"/>
        <v>0</v>
      </c>
      <c r="F109" s="22">
        <v>0</v>
      </c>
      <c r="G109" s="91"/>
      <c r="H109" s="38">
        <v>0</v>
      </c>
      <c r="I109" s="21">
        <f t="shared" si="19"/>
        <v>0</v>
      </c>
      <c r="J109" s="22">
        <v>0</v>
      </c>
    </row>
    <row r="110" spans="1:10" ht="21">
      <c r="A110" s="32" t="s">
        <v>87</v>
      </c>
      <c r="B110" s="111"/>
      <c r="C110" s="33" t="s">
        <v>88</v>
      </c>
      <c r="D110" s="40">
        <f>SUM(D111,D115)</f>
        <v>0</v>
      </c>
      <c r="E110" s="41">
        <f>SUM(E111,E115)</f>
        <v>-41488.79</v>
      </c>
      <c r="F110" s="42">
        <f>SUM(F111,F115)</f>
        <v>41488.79</v>
      </c>
      <c r="H110" s="40">
        <f>SUM(H111,H115)</f>
        <v>0</v>
      </c>
      <c r="I110" s="41">
        <f>SUM(I111,I115)</f>
        <v>-41488.79</v>
      </c>
      <c r="J110" s="42">
        <f>SUM(J111,J115)</f>
        <v>41488.79</v>
      </c>
    </row>
    <row r="111" spans="1:10">
      <c r="A111" s="27" t="s">
        <v>89</v>
      </c>
      <c r="B111" s="108"/>
      <c r="C111" s="16" t="s">
        <v>90</v>
      </c>
      <c r="D111" s="43">
        <f>SUM(D112:D114)</f>
        <v>0</v>
      </c>
      <c r="E111" s="44">
        <f>SUM(E112:E114)</f>
        <v>-40488.79</v>
      </c>
      <c r="F111" s="43">
        <f>SUM(F112:F114)</f>
        <v>40488.79</v>
      </c>
      <c r="H111" s="43">
        <f>SUM(H112:H114)</f>
        <v>0</v>
      </c>
      <c r="I111" s="44">
        <f>SUM(I112:I114)</f>
        <v>-40488.79</v>
      </c>
      <c r="J111" s="43">
        <f>SUM(J112:J114)</f>
        <v>40488.79</v>
      </c>
    </row>
    <row r="112" spans="1:10">
      <c r="A112" s="25" t="s">
        <v>91</v>
      </c>
      <c r="B112" s="109" t="s">
        <v>520</v>
      </c>
      <c r="C112" s="20" t="s">
        <v>649</v>
      </c>
      <c r="D112" s="22">
        <v>0</v>
      </c>
      <c r="E112" s="21">
        <f>-F112+D112</f>
        <v>0</v>
      </c>
      <c r="F112" s="26">
        <v>0</v>
      </c>
      <c r="G112" s="91"/>
      <c r="H112" s="22">
        <v>0</v>
      </c>
      <c r="I112" s="21">
        <f>-J112+H112</f>
        <v>0</v>
      </c>
      <c r="J112" s="26">
        <v>0</v>
      </c>
    </row>
    <row r="113" spans="1:10">
      <c r="A113" s="93"/>
      <c r="B113" s="109"/>
      <c r="C113" s="54" t="s">
        <v>650</v>
      </c>
      <c r="D113" s="26">
        <v>0</v>
      </c>
      <c r="E113" s="39">
        <f>-F113+D113</f>
        <v>-40488.79</v>
      </c>
      <c r="F113" s="26">
        <f>D20+10105.03</f>
        <v>40488.79</v>
      </c>
      <c r="G113" s="91"/>
      <c r="H113" s="26">
        <v>0</v>
      </c>
      <c r="I113" s="39">
        <f>-J113+H113</f>
        <v>-40488.79</v>
      </c>
      <c r="J113" s="26">
        <f>H20+10105.03</f>
        <v>40488.79</v>
      </c>
    </row>
    <row r="114" spans="1:10">
      <c r="A114" s="25"/>
      <c r="B114" s="135" t="s">
        <v>521</v>
      </c>
      <c r="C114" s="20" t="s">
        <v>651</v>
      </c>
      <c r="D114" s="22">
        <v>0</v>
      </c>
      <c r="E114" s="21">
        <v>0</v>
      </c>
      <c r="F114" s="26">
        <v>0</v>
      </c>
      <c r="G114" s="91"/>
      <c r="H114" s="22">
        <v>0</v>
      </c>
      <c r="I114" s="21">
        <v>0</v>
      </c>
      <c r="J114" s="26">
        <v>0</v>
      </c>
    </row>
    <row r="115" spans="1:10">
      <c r="A115" s="27" t="s">
        <v>92</v>
      </c>
      <c r="B115" s="108"/>
      <c r="C115" s="16" t="s">
        <v>93</v>
      </c>
      <c r="D115" s="17">
        <f>SUM(D116:D116)</f>
        <v>0</v>
      </c>
      <c r="E115" s="44">
        <f>SUM(E116:E116)</f>
        <v>-1000</v>
      </c>
      <c r="F115" s="17">
        <f>SUM(F116:F116)</f>
        <v>1000</v>
      </c>
      <c r="H115" s="17">
        <f>SUM(H116:H116)</f>
        <v>0</v>
      </c>
      <c r="I115" s="44">
        <f>SUM(I116:I116)</f>
        <v>-1000</v>
      </c>
      <c r="J115" s="17">
        <f>SUM(J116:J116)</f>
        <v>1000</v>
      </c>
    </row>
    <row r="116" spans="1:10">
      <c r="A116" s="25" t="s">
        <v>94</v>
      </c>
      <c r="B116" s="107" t="s">
        <v>652</v>
      </c>
      <c r="C116" s="20" t="s">
        <v>522</v>
      </c>
      <c r="D116" s="22">
        <v>0</v>
      </c>
      <c r="E116" s="21">
        <f>-F116+D116</f>
        <v>-1000</v>
      </c>
      <c r="F116" s="26">
        <v>1000</v>
      </c>
      <c r="G116" s="91"/>
      <c r="H116" s="22">
        <v>0</v>
      </c>
      <c r="I116" s="21">
        <f>-J116+H116</f>
        <v>-1000</v>
      </c>
      <c r="J116" s="26">
        <v>1000</v>
      </c>
    </row>
    <row r="117" spans="1:10" ht="21">
      <c r="A117" s="32" t="s">
        <v>101</v>
      </c>
      <c r="B117" s="111"/>
      <c r="C117" s="33" t="s">
        <v>102</v>
      </c>
      <c r="D117" s="34">
        <f>SUM(D118,D121,D124,D139,D148,D156,D159)</f>
        <v>67500</v>
      </c>
      <c r="E117" s="50">
        <f>SUM(E118,E121,E124,E139,E148,E156,E159)</f>
        <v>-123000</v>
      </c>
      <c r="F117" s="34">
        <f>SUM(F118,F121,F124,F139,F148,F156,F159)</f>
        <v>190500</v>
      </c>
      <c r="H117" s="34">
        <f>SUM(H118,H121,H124,H139,H148,H156,H159)</f>
        <v>67500</v>
      </c>
      <c r="I117" s="50">
        <f>SUM(I118,I121,I124,I139,I148,I156,I159)</f>
        <v>-132000</v>
      </c>
      <c r="J117" s="34">
        <f>SUM(J118,J121,J124,J139,J148,J156,J159)</f>
        <v>199500</v>
      </c>
    </row>
    <row r="118" spans="1:10">
      <c r="A118" s="27" t="s">
        <v>103</v>
      </c>
      <c r="B118" s="108"/>
      <c r="C118" s="16" t="s">
        <v>104</v>
      </c>
      <c r="D118" s="43">
        <f>SUM(D119:D120)</f>
        <v>0</v>
      </c>
      <c r="E118" s="18">
        <f>SUM(E119:E120)</f>
        <v>-23000</v>
      </c>
      <c r="F118" s="43">
        <f>SUM(F119:F120)</f>
        <v>23000</v>
      </c>
      <c r="H118" s="43">
        <f>SUM(H119:H120)</f>
        <v>0</v>
      </c>
      <c r="I118" s="18">
        <f>SUM(I119:I120)</f>
        <v>-23000</v>
      </c>
      <c r="J118" s="43">
        <f>SUM(J119:J120)</f>
        <v>23000</v>
      </c>
    </row>
    <row r="119" spans="1:10">
      <c r="A119" s="25" t="s">
        <v>105</v>
      </c>
      <c r="B119" s="107" t="s">
        <v>655</v>
      </c>
      <c r="C119" s="20" t="s">
        <v>653</v>
      </c>
      <c r="D119" s="22">
        <v>0</v>
      </c>
      <c r="E119" s="21">
        <f>-F119+D119</f>
        <v>0</v>
      </c>
      <c r="F119" s="26">
        <v>0</v>
      </c>
      <c r="G119" s="91"/>
      <c r="H119" s="22">
        <v>0</v>
      </c>
      <c r="I119" s="21">
        <f>-J119+H119</f>
        <v>0</v>
      </c>
      <c r="J119" s="26">
        <v>0</v>
      </c>
    </row>
    <row r="120" spans="1:10">
      <c r="A120" s="25"/>
      <c r="B120" s="107" t="s">
        <v>523</v>
      </c>
      <c r="C120" s="20" t="s">
        <v>654</v>
      </c>
      <c r="D120" s="26">
        <v>0</v>
      </c>
      <c r="E120" s="39">
        <f>-F120+D120</f>
        <v>-23000</v>
      </c>
      <c r="F120" s="26">
        <v>23000</v>
      </c>
      <c r="G120" s="91"/>
      <c r="H120" s="26">
        <v>0</v>
      </c>
      <c r="I120" s="39">
        <f>-J120+H120</f>
        <v>-23000</v>
      </c>
      <c r="J120" s="26">
        <v>23000</v>
      </c>
    </row>
    <row r="121" spans="1:10">
      <c r="A121" s="27" t="s">
        <v>106</v>
      </c>
      <c r="B121" s="108"/>
      <c r="C121" s="16" t="s">
        <v>107</v>
      </c>
      <c r="D121" s="43">
        <f>SUM(D122:D123)</f>
        <v>0</v>
      </c>
      <c r="E121" s="18">
        <f>SUM(E122:E123)</f>
        <v>-10400</v>
      </c>
      <c r="F121" s="43">
        <f>SUM(F122:F123)</f>
        <v>10400</v>
      </c>
      <c r="H121" s="43">
        <f>SUM(H122:H123)</f>
        <v>0</v>
      </c>
      <c r="I121" s="18">
        <f>SUM(I122:I123)</f>
        <v>-14000</v>
      </c>
      <c r="J121" s="43">
        <f>SUM(J122:J123)</f>
        <v>14000</v>
      </c>
    </row>
    <row r="122" spans="1:10">
      <c r="A122" s="25" t="s">
        <v>108</v>
      </c>
      <c r="B122" s="107" t="s">
        <v>658</v>
      </c>
      <c r="C122" s="20" t="s">
        <v>656</v>
      </c>
      <c r="D122" s="22">
        <v>0</v>
      </c>
      <c r="E122" s="21">
        <f>-F122+D122</f>
        <v>0</v>
      </c>
      <c r="F122" s="26">
        <v>0</v>
      </c>
      <c r="G122" s="91"/>
      <c r="H122" s="22">
        <v>0</v>
      </c>
      <c r="I122" s="21">
        <f>-J122+H122</f>
        <v>0</v>
      </c>
      <c r="J122" s="26">
        <v>0</v>
      </c>
    </row>
    <row r="123" spans="1:10">
      <c r="A123" s="165"/>
      <c r="B123" s="166" t="s">
        <v>524</v>
      </c>
      <c r="C123" s="167" t="s">
        <v>657</v>
      </c>
      <c r="D123" s="162">
        <v>0</v>
      </c>
      <c r="E123" s="163">
        <f>-F123+D123</f>
        <v>-10400</v>
      </c>
      <c r="F123" s="162">
        <v>10400</v>
      </c>
      <c r="G123" s="164"/>
      <c r="H123" s="26">
        <v>0</v>
      </c>
      <c r="I123" s="39">
        <f>-J123+H123</f>
        <v>-14000</v>
      </c>
      <c r="J123" s="26">
        <v>14000</v>
      </c>
    </row>
    <row r="124" spans="1:10">
      <c r="A124" s="51" t="s">
        <v>109</v>
      </c>
      <c r="B124" s="113"/>
      <c r="C124" s="52" t="s">
        <v>110</v>
      </c>
      <c r="D124" s="43">
        <f>SUM(D125:D132)</f>
        <v>66000</v>
      </c>
      <c r="E124" s="18">
        <f>SUM(E125:E132)</f>
        <v>11400</v>
      </c>
      <c r="F124" s="43">
        <f>SUM(F125:F132)</f>
        <v>54600</v>
      </c>
      <c r="H124" s="43">
        <f>SUM(H125:H132)</f>
        <v>66000</v>
      </c>
      <c r="I124" s="18">
        <f>SUM(I125:I132)</f>
        <v>6000</v>
      </c>
      <c r="J124" s="43">
        <f>SUM(J125:J132)</f>
        <v>60000</v>
      </c>
    </row>
    <row r="125" spans="1:10">
      <c r="A125" s="93" t="s">
        <v>111</v>
      </c>
      <c r="B125" s="109" t="s">
        <v>525</v>
      </c>
      <c r="C125" s="54" t="s">
        <v>659</v>
      </c>
      <c r="D125" s="26">
        <f>550*3*20</f>
        <v>33000</v>
      </c>
      <c r="E125" s="39">
        <f t="shared" ref="E125:E138" si="20">-F125+D125</f>
        <v>33000</v>
      </c>
      <c r="F125" s="26">
        <v>0</v>
      </c>
      <c r="G125" s="91"/>
      <c r="H125" s="26">
        <f>550*3*20</f>
        <v>33000</v>
      </c>
      <c r="I125" s="39">
        <f t="shared" ref="I125:I132" si="21">-J125+H125</f>
        <v>33000</v>
      </c>
      <c r="J125" s="26">
        <v>0</v>
      </c>
    </row>
    <row r="126" spans="1:10">
      <c r="A126" s="93"/>
      <c r="B126" s="109" t="s">
        <v>661</v>
      </c>
      <c r="C126" s="54" t="s">
        <v>662</v>
      </c>
      <c r="D126" s="26">
        <v>0</v>
      </c>
      <c r="E126" s="39">
        <f t="shared" si="20"/>
        <v>0</v>
      </c>
      <c r="F126" s="26">
        <v>0</v>
      </c>
      <c r="G126" s="91"/>
      <c r="H126" s="26">
        <v>0</v>
      </c>
      <c r="I126" s="39">
        <f t="shared" si="21"/>
        <v>0</v>
      </c>
      <c r="J126" s="26">
        <v>0</v>
      </c>
    </row>
    <row r="127" spans="1:10">
      <c r="A127" s="93"/>
      <c r="B127" s="109" t="s">
        <v>665</v>
      </c>
      <c r="C127" s="54" t="s">
        <v>660</v>
      </c>
      <c r="D127" s="26">
        <f>550*3*20</f>
        <v>33000</v>
      </c>
      <c r="E127" s="39">
        <f t="shared" si="20"/>
        <v>33000</v>
      </c>
      <c r="F127" s="26">
        <v>0</v>
      </c>
      <c r="G127" s="91"/>
      <c r="H127" s="26">
        <f>550*3*20</f>
        <v>33000</v>
      </c>
      <c r="I127" s="39">
        <f t="shared" si="21"/>
        <v>33000</v>
      </c>
      <c r="J127" s="26">
        <v>0</v>
      </c>
    </row>
    <row r="128" spans="1:10">
      <c r="A128" s="93"/>
      <c r="B128" s="109" t="s">
        <v>664</v>
      </c>
      <c r="C128" s="54" t="s">
        <v>663</v>
      </c>
      <c r="D128" s="26">
        <v>0</v>
      </c>
      <c r="E128" s="39">
        <f t="shared" si="20"/>
        <v>0</v>
      </c>
      <c r="F128" s="26">
        <v>0</v>
      </c>
      <c r="G128" s="91"/>
      <c r="H128" s="26">
        <v>0</v>
      </c>
      <c r="I128" s="39">
        <f t="shared" si="21"/>
        <v>0</v>
      </c>
      <c r="J128" s="26">
        <v>0</v>
      </c>
    </row>
    <row r="129" spans="1:10">
      <c r="A129" s="93" t="s">
        <v>113</v>
      </c>
      <c r="B129" s="109" t="s">
        <v>526</v>
      </c>
      <c r="C129" s="54" t="s">
        <v>666</v>
      </c>
      <c r="D129" s="26">
        <v>0</v>
      </c>
      <c r="E129" s="39">
        <f t="shared" si="20"/>
        <v>-24300</v>
      </c>
      <c r="F129" s="26">
        <v>24300</v>
      </c>
      <c r="G129" s="91"/>
      <c r="H129" s="26">
        <v>0</v>
      </c>
      <c r="I129" s="39">
        <f t="shared" si="21"/>
        <v>-24300</v>
      </c>
      <c r="J129" s="26">
        <v>24300</v>
      </c>
    </row>
    <row r="130" spans="1:10">
      <c r="A130" s="93"/>
      <c r="B130" s="109" t="s">
        <v>668</v>
      </c>
      <c r="C130" s="54" t="s">
        <v>667</v>
      </c>
      <c r="D130" s="26">
        <v>0</v>
      </c>
      <c r="E130" s="39">
        <f t="shared" si="20"/>
        <v>-24300</v>
      </c>
      <c r="F130" s="26">
        <v>24300</v>
      </c>
      <c r="G130" s="91"/>
      <c r="H130" s="26">
        <v>0</v>
      </c>
      <c r="I130" s="39">
        <f t="shared" si="21"/>
        <v>-24300</v>
      </c>
      <c r="J130" s="26">
        <v>24300</v>
      </c>
    </row>
    <row r="131" spans="1:10">
      <c r="A131" s="25" t="s">
        <v>115</v>
      </c>
      <c r="B131" s="107" t="s">
        <v>527</v>
      </c>
      <c r="C131" s="20" t="s">
        <v>116</v>
      </c>
      <c r="D131" s="26">
        <v>0</v>
      </c>
      <c r="E131" s="39">
        <f t="shared" si="20"/>
        <v>-1000</v>
      </c>
      <c r="F131" s="26">
        <v>1000</v>
      </c>
      <c r="G131" s="91"/>
      <c r="H131" s="26">
        <v>0</v>
      </c>
      <c r="I131" s="39">
        <f t="shared" si="21"/>
        <v>-1000</v>
      </c>
      <c r="J131" s="26">
        <v>1000</v>
      </c>
    </row>
    <row r="132" spans="1:10">
      <c r="A132" s="159" t="s">
        <v>397</v>
      </c>
      <c r="B132" s="160" t="s">
        <v>528</v>
      </c>
      <c r="C132" s="161" t="s">
        <v>398</v>
      </c>
      <c r="D132" s="162">
        <v>0</v>
      </c>
      <c r="E132" s="163">
        <f t="shared" si="20"/>
        <v>-5000</v>
      </c>
      <c r="F132" s="162">
        <f>2000+3000</f>
        <v>5000</v>
      </c>
      <c r="G132" s="164"/>
      <c r="H132" s="26">
        <v>0</v>
      </c>
      <c r="I132" s="39">
        <f t="shared" si="21"/>
        <v>-10400</v>
      </c>
      <c r="J132" s="26">
        <f>2000+5400+3000</f>
        <v>10400</v>
      </c>
    </row>
    <row r="133" spans="1:10" s="144" customFormat="1">
      <c r="A133" s="101" t="s">
        <v>117</v>
      </c>
      <c r="B133" s="118"/>
      <c r="C133" s="100" t="s">
        <v>903</v>
      </c>
      <c r="D133" s="102">
        <f>SUM(D134:D138)</f>
        <v>0</v>
      </c>
      <c r="E133" s="143">
        <f>SUM(E134:E138)</f>
        <v>0</v>
      </c>
      <c r="F133" s="102">
        <f>SUM(F134:F138)</f>
        <v>0</v>
      </c>
      <c r="G133" s="145"/>
      <c r="H133" s="102">
        <f>SUM(H134:H138)</f>
        <v>0</v>
      </c>
      <c r="I133" s="143">
        <f>SUM(I134:I138)</f>
        <v>0</v>
      </c>
      <c r="J133" s="102">
        <f>SUM(J134:J138)</f>
        <v>0</v>
      </c>
    </row>
    <row r="134" spans="1:10">
      <c r="A134" s="93" t="s">
        <v>118</v>
      </c>
      <c r="B134" s="109" t="s">
        <v>910</v>
      </c>
      <c r="C134" s="54" t="s">
        <v>122</v>
      </c>
      <c r="D134" s="26">
        <v>0</v>
      </c>
      <c r="E134" s="39">
        <f t="shared" si="20"/>
        <v>0</v>
      </c>
      <c r="F134" s="26">
        <v>0</v>
      </c>
      <c r="G134" s="91"/>
      <c r="H134" s="26">
        <v>0</v>
      </c>
      <c r="I134" s="39">
        <f t="shared" ref="I134:I138" si="22">-J134+H134</f>
        <v>0</v>
      </c>
      <c r="J134" s="26">
        <v>0</v>
      </c>
    </row>
    <row r="135" spans="1:10">
      <c r="A135" s="93" t="s">
        <v>904</v>
      </c>
      <c r="B135" s="109" t="s">
        <v>911</v>
      </c>
      <c r="C135" s="54" t="s">
        <v>908</v>
      </c>
      <c r="D135" s="26">
        <v>0</v>
      </c>
      <c r="E135" s="39">
        <f t="shared" si="20"/>
        <v>0</v>
      </c>
      <c r="F135" s="26">
        <v>0</v>
      </c>
      <c r="G135" s="91"/>
      <c r="H135" s="26">
        <v>0</v>
      </c>
      <c r="I135" s="39">
        <f t="shared" si="22"/>
        <v>0</v>
      </c>
      <c r="J135" s="26">
        <v>0</v>
      </c>
    </row>
    <row r="136" spans="1:10">
      <c r="A136" s="93" t="s">
        <v>905</v>
      </c>
      <c r="B136" s="109" t="s">
        <v>912</v>
      </c>
      <c r="C136" s="54" t="s">
        <v>130</v>
      </c>
      <c r="D136" s="26">
        <v>0</v>
      </c>
      <c r="E136" s="39">
        <f t="shared" si="20"/>
        <v>0</v>
      </c>
      <c r="F136" s="26">
        <v>0</v>
      </c>
      <c r="G136" s="91"/>
      <c r="H136" s="26">
        <v>0</v>
      </c>
      <c r="I136" s="39">
        <f t="shared" si="22"/>
        <v>0</v>
      </c>
      <c r="J136" s="26">
        <v>0</v>
      </c>
    </row>
    <row r="137" spans="1:10">
      <c r="A137" s="93" t="s">
        <v>906</v>
      </c>
      <c r="B137" s="109" t="s">
        <v>913</v>
      </c>
      <c r="C137" s="54" t="s">
        <v>132</v>
      </c>
      <c r="D137" s="26">
        <v>0</v>
      </c>
      <c r="E137" s="39">
        <f t="shared" si="20"/>
        <v>0</v>
      </c>
      <c r="F137" s="26">
        <v>0</v>
      </c>
      <c r="G137" s="91"/>
      <c r="H137" s="26">
        <v>0</v>
      </c>
      <c r="I137" s="39">
        <f t="shared" si="22"/>
        <v>0</v>
      </c>
      <c r="J137" s="26">
        <v>0</v>
      </c>
    </row>
    <row r="138" spans="1:10">
      <c r="A138" s="93" t="s">
        <v>907</v>
      </c>
      <c r="B138" s="109" t="s">
        <v>914</v>
      </c>
      <c r="C138" s="54" t="s">
        <v>909</v>
      </c>
      <c r="D138" s="26">
        <v>0</v>
      </c>
      <c r="E138" s="39">
        <f t="shared" si="20"/>
        <v>0</v>
      </c>
      <c r="F138" s="26">
        <v>0</v>
      </c>
      <c r="G138" s="91"/>
      <c r="H138" s="26">
        <v>0</v>
      </c>
      <c r="I138" s="39">
        <f t="shared" si="22"/>
        <v>0</v>
      </c>
      <c r="J138" s="26">
        <v>0</v>
      </c>
    </row>
    <row r="139" spans="1:10">
      <c r="A139" s="27" t="s">
        <v>133</v>
      </c>
      <c r="B139" s="108"/>
      <c r="C139" s="53" t="s">
        <v>134</v>
      </c>
      <c r="D139" s="17">
        <f>SUM(D140:D147)</f>
        <v>0</v>
      </c>
      <c r="E139" s="18">
        <f>SUM(E140:E147)</f>
        <v>-41500</v>
      </c>
      <c r="F139" s="17">
        <f>SUM(F140:F147)</f>
        <v>41500</v>
      </c>
      <c r="H139" s="17">
        <f>SUM(H140:H147)</f>
        <v>0</v>
      </c>
      <c r="I139" s="18">
        <f>SUM(I140:I147)</f>
        <v>-41500</v>
      </c>
      <c r="J139" s="17">
        <f>SUM(J140:J147)</f>
        <v>41500</v>
      </c>
    </row>
    <row r="140" spans="1:10">
      <c r="A140" s="93" t="s">
        <v>135</v>
      </c>
      <c r="B140" s="109" t="s">
        <v>671</v>
      </c>
      <c r="C140" s="54" t="s">
        <v>669</v>
      </c>
      <c r="D140" s="26">
        <v>0</v>
      </c>
      <c r="E140" s="39">
        <f t="shared" ref="E140:E147" si="23">-F140+D140</f>
        <v>0</v>
      </c>
      <c r="F140" s="26">
        <v>0</v>
      </c>
      <c r="G140" s="91"/>
      <c r="H140" s="26">
        <v>0</v>
      </c>
      <c r="I140" s="39">
        <f t="shared" ref="I140:I147" si="24">-J140+H140</f>
        <v>0</v>
      </c>
      <c r="J140" s="26">
        <v>0</v>
      </c>
    </row>
    <row r="141" spans="1:10">
      <c r="A141" s="93"/>
      <c r="B141" s="109" t="s">
        <v>529</v>
      </c>
      <c r="C141" s="54" t="s">
        <v>670</v>
      </c>
      <c r="D141" s="26">
        <v>0</v>
      </c>
      <c r="E141" s="39">
        <f t="shared" si="23"/>
        <v>-20000</v>
      </c>
      <c r="F141" s="26">
        <v>20000</v>
      </c>
      <c r="G141" s="91"/>
      <c r="H141" s="26">
        <v>0</v>
      </c>
      <c r="I141" s="39">
        <f t="shared" si="24"/>
        <v>-20000</v>
      </c>
      <c r="J141" s="26">
        <v>20000</v>
      </c>
    </row>
    <row r="142" spans="1:10">
      <c r="A142" s="93" t="s">
        <v>137</v>
      </c>
      <c r="B142" s="109" t="s">
        <v>674</v>
      </c>
      <c r="C142" s="54" t="s">
        <v>672</v>
      </c>
      <c r="D142" s="26">
        <v>0</v>
      </c>
      <c r="E142" s="39">
        <f t="shared" si="23"/>
        <v>0</v>
      </c>
      <c r="F142" s="26">
        <v>0</v>
      </c>
      <c r="G142" s="91"/>
      <c r="H142" s="26">
        <v>0</v>
      </c>
      <c r="I142" s="39">
        <f t="shared" si="24"/>
        <v>0</v>
      </c>
      <c r="J142" s="26">
        <v>0</v>
      </c>
    </row>
    <row r="143" spans="1:10">
      <c r="A143" s="93"/>
      <c r="B143" s="109" t="s">
        <v>675</v>
      </c>
      <c r="C143" s="54" t="s">
        <v>673</v>
      </c>
      <c r="D143" s="26">
        <v>0</v>
      </c>
      <c r="E143" s="39">
        <f t="shared" si="23"/>
        <v>-20000</v>
      </c>
      <c r="F143" s="26">
        <v>20000</v>
      </c>
      <c r="G143" s="91"/>
      <c r="H143" s="26">
        <v>0</v>
      </c>
      <c r="I143" s="39">
        <f t="shared" si="24"/>
        <v>-20000</v>
      </c>
      <c r="J143" s="26">
        <v>20000</v>
      </c>
    </row>
    <row r="144" spans="1:10">
      <c r="A144" s="93" t="s">
        <v>413</v>
      </c>
      <c r="B144" s="109" t="s">
        <v>535</v>
      </c>
      <c r="C144" s="54" t="s">
        <v>532</v>
      </c>
      <c r="D144" s="26">
        <v>0</v>
      </c>
      <c r="E144" s="39">
        <f t="shared" si="23"/>
        <v>0</v>
      </c>
      <c r="F144" s="26">
        <v>0</v>
      </c>
      <c r="G144" s="91"/>
      <c r="H144" s="26">
        <v>0</v>
      </c>
      <c r="I144" s="39">
        <f t="shared" si="24"/>
        <v>0</v>
      </c>
      <c r="J144" s="26">
        <v>0</v>
      </c>
    </row>
    <row r="145" spans="1:10">
      <c r="A145" s="93"/>
      <c r="B145" s="109" t="s">
        <v>534</v>
      </c>
      <c r="C145" s="54" t="s">
        <v>533</v>
      </c>
      <c r="D145" s="26">
        <v>0</v>
      </c>
      <c r="E145" s="39">
        <f t="shared" si="23"/>
        <v>0</v>
      </c>
      <c r="F145" s="26">
        <v>0</v>
      </c>
      <c r="G145" s="91"/>
      <c r="H145" s="26">
        <v>0</v>
      </c>
      <c r="I145" s="39">
        <f t="shared" si="24"/>
        <v>0</v>
      </c>
      <c r="J145" s="26">
        <v>0</v>
      </c>
    </row>
    <row r="146" spans="1:10">
      <c r="A146" s="93" t="s">
        <v>421</v>
      </c>
      <c r="B146" s="109" t="s">
        <v>676</v>
      </c>
      <c r="C146" s="54" t="s">
        <v>677</v>
      </c>
      <c r="D146" s="26">
        <v>0</v>
      </c>
      <c r="E146" s="39">
        <f t="shared" si="23"/>
        <v>0</v>
      </c>
      <c r="F146" s="26">
        <v>0</v>
      </c>
      <c r="G146" s="91"/>
      <c r="H146" s="26">
        <v>0</v>
      </c>
      <c r="I146" s="39">
        <f t="shared" si="24"/>
        <v>0</v>
      </c>
      <c r="J146" s="26">
        <v>0</v>
      </c>
    </row>
    <row r="147" spans="1:10">
      <c r="A147" s="93"/>
      <c r="B147" s="109" t="s">
        <v>679</v>
      </c>
      <c r="C147" s="54" t="s">
        <v>678</v>
      </c>
      <c r="D147" s="26">
        <v>0</v>
      </c>
      <c r="E147" s="39">
        <f t="shared" si="23"/>
        <v>-1500</v>
      </c>
      <c r="F147" s="26">
        <v>1500</v>
      </c>
      <c r="G147" s="91"/>
      <c r="H147" s="26">
        <v>0</v>
      </c>
      <c r="I147" s="39">
        <f t="shared" si="24"/>
        <v>-1500</v>
      </c>
      <c r="J147" s="26">
        <v>1500</v>
      </c>
    </row>
    <row r="148" spans="1:10">
      <c r="A148" s="27" t="s">
        <v>139</v>
      </c>
      <c r="B148" s="108"/>
      <c r="C148" s="16" t="s">
        <v>140</v>
      </c>
      <c r="D148" s="17">
        <f>SUM(D149:D155)</f>
        <v>1000</v>
      </c>
      <c r="E148" s="18">
        <f>SUM(E149:E155)</f>
        <v>-57500</v>
      </c>
      <c r="F148" s="17">
        <f>SUM(F149:F155)</f>
        <v>58500</v>
      </c>
      <c r="H148" s="17">
        <f>SUM(H149:H155)</f>
        <v>1000</v>
      </c>
      <c r="I148" s="18">
        <f>SUM(I149:I155)</f>
        <v>-57500</v>
      </c>
      <c r="J148" s="17">
        <f>SUM(J149:J155)</f>
        <v>58500</v>
      </c>
    </row>
    <row r="149" spans="1:10">
      <c r="A149" s="25" t="s">
        <v>143</v>
      </c>
      <c r="B149" s="107" t="s">
        <v>538</v>
      </c>
      <c r="C149" s="20" t="s">
        <v>144</v>
      </c>
      <c r="D149" s="22">
        <v>0</v>
      </c>
      <c r="E149" s="21">
        <f t="shared" ref="E149:E155" si="25">-F149+D149</f>
        <v>0</v>
      </c>
      <c r="F149" s="22">
        <v>0</v>
      </c>
      <c r="G149" s="91"/>
      <c r="H149" s="22">
        <v>0</v>
      </c>
      <c r="I149" s="21">
        <f t="shared" ref="I149:I155" si="26">-J149+H149</f>
        <v>0</v>
      </c>
      <c r="J149" s="22">
        <v>0</v>
      </c>
    </row>
    <row r="150" spans="1:10">
      <c r="A150" s="25" t="s">
        <v>145</v>
      </c>
      <c r="B150" s="107" t="s">
        <v>680</v>
      </c>
      <c r="C150" s="20" t="s">
        <v>539</v>
      </c>
      <c r="D150" s="26">
        <v>0</v>
      </c>
      <c r="E150" s="21">
        <f t="shared" si="25"/>
        <v>0</v>
      </c>
      <c r="F150" s="26">
        <v>0</v>
      </c>
      <c r="G150" s="91"/>
      <c r="H150" s="26">
        <v>0</v>
      </c>
      <c r="I150" s="21">
        <f t="shared" si="26"/>
        <v>0</v>
      </c>
      <c r="J150" s="26">
        <v>0</v>
      </c>
    </row>
    <row r="151" spans="1:10">
      <c r="A151" s="93"/>
      <c r="B151" s="109" t="s">
        <v>681</v>
      </c>
      <c r="C151" s="54" t="s">
        <v>540</v>
      </c>
      <c r="D151" s="26">
        <v>0</v>
      </c>
      <c r="E151" s="39">
        <f t="shared" si="25"/>
        <v>-50000</v>
      </c>
      <c r="F151" s="26">
        <v>50000</v>
      </c>
      <c r="G151" s="91"/>
      <c r="H151" s="26">
        <v>0</v>
      </c>
      <c r="I151" s="39">
        <f t="shared" si="26"/>
        <v>-50000</v>
      </c>
      <c r="J151" s="26">
        <v>50000</v>
      </c>
    </row>
    <row r="152" spans="1:10">
      <c r="A152" s="25" t="s">
        <v>400</v>
      </c>
      <c r="B152" s="107" t="s">
        <v>543</v>
      </c>
      <c r="C152" s="20" t="s">
        <v>541</v>
      </c>
      <c r="D152" s="26">
        <v>0</v>
      </c>
      <c r="E152" s="21">
        <f t="shared" si="25"/>
        <v>0</v>
      </c>
      <c r="F152" s="26">
        <v>0</v>
      </c>
      <c r="G152" s="91"/>
      <c r="H152" s="26">
        <v>0</v>
      </c>
      <c r="I152" s="21">
        <f t="shared" si="26"/>
        <v>0</v>
      </c>
      <c r="J152" s="26">
        <v>0</v>
      </c>
    </row>
    <row r="153" spans="1:10">
      <c r="A153" s="93"/>
      <c r="B153" s="109" t="s">
        <v>544</v>
      </c>
      <c r="C153" s="54" t="s">
        <v>542</v>
      </c>
      <c r="D153" s="26">
        <v>0</v>
      </c>
      <c r="E153" s="21">
        <f t="shared" si="25"/>
        <v>-5000</v>
      </c>
      <c r="F153" s="26">
        <v>5000</v>
      </c>
      <c r="G153" s="91"/>
      <c r="H153" s="26">
        <v>0</v>
      </c>
      <c r="I153" s="21">
        <f t="shared" si="26"/>
        <v>-5000</v>
      </c>
      <c r="J153" s="26">
        <v>5000</v>
      </c>
    </row>
    <row r="154" spans="1:10">
      <c r="A154" s="93" t="s">
        <v>936</v>
      </c>
      <c r="B154" s="109" t="s">
        <v>530</v>
      </c>
      <c r="C154" s="54" t="s">
        <v>431</v>
      </c>
      <c r="D154" s="26">
        <v>1000</v>
      </c>
      <c r="E154" s="39">
        <f t="shared" si="25"/>
        <v>1000</v>
      </c>
      <c r="F154" s="26">
        <v>0</v>
      </c>
      <c r="G154" s="91"/>
      <c r="H154" s="26">
        <v>1000</v>
      </c>
      <c r="I154" s="39">
        <f t="shared" si="26"/>
        <v>1000</v>
      </c>
      <c r="J154" s="26">
        <v>0</v>
      </c>
    </row>
    <row r="155" spans="1:10">
      <c r="A155" s="93"/>
      <c r="B155" s="109" t="s">
        <v>531</v>
      </c>
      <c r="C155" s="54" t="s">
        <v>537</v>
      </c>
      <c r="D155" s="26">
        <v>0</v>
      </c>
      <c r="E155" s="39">
        <f t="shared" si="25"/>
        <v>-3500</v>
      </c>
      <c r="F155" s="26">
        <v>3500</v>
      </c>
      <c r="G155" s="91"/>
      <c r="H155" s="26">
        <v>0</v>
      </c>
      <c r="I155" s="39">
        <f t="shared" si="26"/>
        <v>-3500</v>
      </c>
      <c r="J155" s="26">
        <v>3500</v>
      </c>
    </row>
    <row r="156" spans="1:10">
      <c r="A156" s="27" t="s">
        <v>148</v>
      </c>
      <c r="B156" s="108"/>
      <c r="C156" s="16" t="s">
        <v>149</v>
      </c>
      <c r="D156" s="17">
        <f>SUM(D157)</f>
        <v>0</v>
      </c>
      <c r="E156" s="18">
        <f>SUM(E157,E158)</f>
        <v>-2500</v>
      </c>
      <c r="F156" s="17">
        <f>SUM(F157+F158)</f>
        <v>2500</v>
      </c>
      <c r="H156" s="17">
        <f>SUM(H157)</f>
        <v>0</v>
      </c>
      <c r="I156" s="18">
        <f>SUM(I157,I158)</f>
        <v>-2500</v>
      </c>
      <c r="J156" s="17">
        <f>SUM(J157+J158)</f>
        <v>2500</v>
      </c>
    </row>
    <row r="157" spans="1:10">
      <c r="A157" s="116" t="s">
        <v>150</v>
      </c>
      <c r="B157" s="116" t="s">
        <v>547</v>
      </c>
      <c r="C157" s="117" t="s">
        <v>545</v>
      </c>
      <c r="D157" s="22">
        <v>0</v>
      </c>
      <c r="E157" s="21">
        <f>-F157+D157</f>
        <v>0</v>
      </c>
      <c r="F157" s="26">
        <v>0</v>
      </c>
      <c r="G157" s="91"/>
      <c r="H157" s="22">
        <v>0</v>
      </c>
      <c r="I157" s="21">
        <f>-J157+H157</f>
        <v>0</v>
      </c>
      <c r="J157" s="26">
        <v>0</v>
      </c>
    </row>
    <row r="158" spans="1:10">
      <c r="A158" s="119"/>
      <c r="B158" s="134" t="s">
        <v>548</v>
      </c>
      <c r="C158" s="121" t="s">
        <v>546</v>
      </c>
      <c r="D158" s="26">
        <v>0</v>
      </c>
      <c r="E158" s="39">
        <f>-F158+D158</f>
        <v>-2500</v>
      </c>
      <c r="F158" s="26">
        <v>2500</v>
      </c>
      <c r="G158" s="91"/>
      <c r="H158" s="26">
        <v>0</v>
      </c>
      <c r="I158" s="39">
        <f>-J158+H158</f>
        <v>-2500</v>
      </c>
      <c r="J158" s="26">
        <v>2500</v>
      </c>
    </row>
    <row r="159" spans="1:10">
      <c r="A159" s="27" t="s">
        <v>432</v>
      </c>
      <c r="B159" s="115"/>
      <c r="C159" s="16" t="s">
        <v>433</v>
      </c>
      <c r="D159" s="17">
        <f>SUM(D160)</f>
        <v>500</v>
      </c>
      <c r="E159" s="18">
        <f>SUM(E160)</f>
        <v>500</v>
      </c>
      <c r="F159" s="17">
        <f>SUM(F160)</f>
        <v>0</v>
      </c>
      <c r="H159" s="17">
        <f>SUM(H160)</f>
        <v>500</v>
      </c>
      <c r="I159" s="18">
        <f>SUM(I160)</f>
        <v>500</v>
      </c>
      <c r="J159" s="17">
        <f>SUM(J160)</f>
        <v>0</v>
      </c>
    </row>
    <row r="160" spans="1:10">
      <c r="A160" s="136" t="s">
        <v>434</v>
      </c>
      <c r="B160" s="137" t="s">
        <v>587</v>
      </c>
      <c r="C160" s="138" t="s">
        <v>435</v>
      </c>
      <c r="D160" s="26">
        <v>500</v>
      </c>
      <c r="E160" s="39">
        <f>-F160+D160</f>
        <v>500</v>
      </c>
      <c r="F160" s="26">
        <v>0</v>
      </c>
      <c r="G160" s="91"/>
      <c r="H160" s="26">
        <v>500</v>
      </c>
      <c r="I160" s="39">
        <f>-J160+H160</f>
        <v>500</v>
      </c>
      <c r="J160" s="26">
        <v>0</v>
      </c>
    </row>
    <row r="161" spans="1:10">
      <c r="A161" s="119"/>
      <c r="B161" s="120" t="s">
        <v>682</v>
      </c>
      <c r="C161" s="121" t="s">
        <v>683</v>
      </c>
      <c r="D161" s="26">
        <v>0</v>
      </c>
      <c r="E161" s="39">
        <f>-F161+D161</f>
        <v>0</v>
      </c>
      <c r="F161" s="26">
        <v>0</v>
      </c>
      <c r="G161" s="91"/>
      <c r="H161" s="26">
        <v>0</v>
      </c>
      <c r="I161" s="39">
        <f>-J161+H161</f>
        <v>0</v>
      </c>
      <c r="J161" s="26">
        <v>0</v>
      </c>
    </row>
    <row r="162" spans="1:10" ht="21">
      <c r="A162" s="32" t="s">
        <v>152</v>
      </c>
      <c r="B162" s="111"/>
      <c r="C162" s="33" t="s">
        <v>153</v>
      </c>
      <c r="D162" s="34">
        <f>SUM(D163,D168)</f>
        <v>0</v>
      </c>
      <c r="E162" s="41">
        <f>SUM(E163,E168)</f>
        <v>-481300</v>
      </c>
      <c r="F162" s="34">
        <f>SUM(F163,F168)</f>
        <v>481300</v>
      </c>
      <c r="G162" s="64"/>
      <c r="H162" s="34">
        <f>SUM(H163,H168)</f>
        <v>0</v>
      </c>
      <c r="I162" s="41">
        <f>SUM(I163,I168)</f>
        <v>-426700</v>
      </c>
      <c r="J162" s="34">
        <f>SUM(J163,J168)</f>
        <v>426700</v>
      </c>
    </row>
    <row r="163" spans="1:10">
      <c r="A163" s="27" t="s">
        <v>154</v>
      </c>
      <c r="B163" s="108"/>
      <c r="C163" s="16" t="s">
        <v>155</v>
      </c>
      <c r="D163" s="17">
        <f>SUM(D164:D167)</f>
        <v>0</v>
      </c>
      <c r="E163" s="18">
        <f>SUM(E164:E167)</f>
        <v>-377800</v>
      </c>
      <c r="F163" s="17">
        <f>SUM(F164:F167)</f>
        <v>377800</v>
      </c>
      <c r="H163" s="17">
        <f>SUM(H164:H167)</f>
        <v>0</v>
      </c>
      <c r="I163" s="18">
        <f>SUM(I164:I167)</f>
        <v>-323200</v>
      </c>
      <c r="J163" s="17">
        <f>SUM(J164:J167)</f>
        <v>323200</v>
      </c>
    </row>
    <row r="164" spans="1:10" s="64" customFormat="1">
      <c r="A164" s="93" t="s">
        <v>156</v>
      </c>
      <c r="B164" s="109" t="s">
        <v>549</v>
      </c>
      <c r="C164" s="54" t="s">
        <v>157</v>
      </c>
      <c r="D164" s="26">
        <v>0</v>
      </c>
      <c r="E164" s="39">
        <f>-F164+D164</f>
        <v>-133000</v>
      </c>
      <c r="F164" s="26">
        <f>40000+50000+10500+22000+3600+2400+2000+2500</f>
        <v>133000</v>
      </c>
      <c r="G164" s="91"/>
      <c r="H164" s="26">
        <v>0</v>
      </c>
      <c r="I164" s="39">
        <f>-J164+H164</f>
        <v>-127000</v>
      </c>
      <c r="J164" s="26">
        <f>40000+50000+10500+22000+2000+2500</f>
        <v>127000</v>
      </c>
    </row>
    <row r="165" spans="1:10">
      <c r="A165" s="159" t="s">
        <v>158</v>
      </c>
      <c r="B165" s="160" t="s">
        <v>688</v>
      </c>
      <c r="C165" s="161" t="s">
        <v>684</v>
      </c>
      <c r="D165" s="162">
        <v>0</v>
      </c>
      <c r="E165" s="163">
        <f>-F165+D165</f>
        <v>-204000</v>
      </c>
      <c r="F165" s="162">
        <f>9600+6000+7200+7200+9600+31200+12000+7200+2400+7200+7200+7200+7200+7200+12000+7200+4800+1800+1800+1200+7200+39600</f>
        <v>204000</v>
      </c>
      <c r="G165" s="164"/>
      <c r="H165" s="26">
        <v>0</v>
      </c>
      <c r="I165" s="39">
        <f>-J165+H165</f>
        <v>-162000</v>
      </c>
      <c r="J165" s="26">
        <f>9600+4800+7200+7200+9600+30600+12000+7200+4800+2400+55200+1800+1800+600+7200</f>
        <v>162000</v>
      </c>
    </row>
    <row r="166" spans="1:10">
      <c r="A166" s="159"/>
      <c r="B166" s="160" t="s">
        <v>550</v>
      </c>
      <c r="C166" s="161" t="s">
        <v>685</v>
      </c>
      <c r="D166" s="162">
        <v>0</v>
      </c>
      <c r="E166" s="163">
        <f>-F166+D166</f>
        <v>-40800</v>
      </c>
      <c r="F166" s="162">
        <f>21600+4800+2400+2400+2400+7200</f>
        <v>40800</v>
      </c>
      <c r="G166" s="164"/>
      <c r="H166" s="26">
        <v>0</v>
      </c>
      <c r="I166" s="39">
        <f>-J166+H166</f>
        <v>-34200</v>
      </c>
      <c r="J166" s="26">
        <f>21600+7200+3000+2400</f>
        <v>34200</v>
      </c>
    </row>
    <row r="167" spans="1:10">
      <c r="A167" s="93"/>
      <c r="B167" s="109" t="s">
        <v>689</v>
      </c>
      <c r="C167" s="54" t="s">
        <v>686</v>
      </c>
      <c r="D167" s="26">
        <v>0</v>
      </c>
      <c r="E167" s="39">
        <v>0</v>
      </c>
      <c r="F167" s="26">
        <v>0</v>
      </c>
      <c r="G167" s="91"/>
      <c r="H167" s="26">
        <v>0</v>
      </c>
      <c r="I167" s="39">
        <v>0</v>
      </c>
      <c r="J167" s="26">
        <v>0</v>
      </c>
    </row>
    <row r="168" spans="1:10">
      <c r="A168" s="27" t="s">
        <v>168</v>
      </c>
      <c r="B168" s="108"/>
      <c r="C168" s="16" t="s">
        <v>169</v>
      </c>
      <c r="D168" s="17">
        <f>SUM(D169:D174)</f>
        <v>0</v>
      </c>
      <c r="E168" s="18">
        <f>SUM(E169:E174)</f>
        <v>-103500</v>
      </c>
      <c r="F168" s="17">
        <f>SUM(F169:F174)</f>
        <v>103500</v>
      </c>
      <c r="H168" s="17">
        <f>SUM(H169:H174)</f>
        <v>0</v>
      </c>
      <c r="I168" s="18">
        <f>SUM(I169:I174)</f>
        <v>-103500</v>
      </c>
      <c r="J168" s="17">
        <f>SUM(J169:J174)</f>
        <v>103500</v>
      </c>
    </row>
    <row r="169" spans="1:10">
      <c r="A169" s="93" t="s">
        <v>170</v>
      </c>
      <c r="B169" s="109" t="s">
        <v>690</v>
      </c>
      <c r="C169" s="54" t="s">
        <v>402</v>
      </c>
      <c r="D169" s="26">
        <v>0</v>
      </c>
      <c r="E169" s="39">
        <f>-F169+D169</f>
        <v>-73000</v>
      </c>
      <c r="F169" s="26">
        <v>73000</v>
      </c>
      <c r="G169" s="91"/>
      <c r="H169" s="26">
        <v>0</v>
      </c>
      <c r="I169" s="39">
        <f>-J169+H169</f>
        <v>-73000</v>
      </c>
      <c r="J169" s="26">
        <v>73000</v>
      </c>
    </row>
    <row r="170" spans="1:10">
      <c r="A170" s="93"/>
      <c r="B170" s="109" t="s">
        <v>694</v>
      </c>
      <c r="C170" s="54" t="s">
        <v>691</v>
      </c>
      <c r="D170" s="26">
        <v>0</v>
      </c>
      <c r="E170" s="39">
        <f t="shared" ref="E170:E173" si="27">-F170+D170</f>
        <v>0</v>
      </c>
      <c r="F170" s="26">
        <v>0</v>
      </c>
      <c r="G170" s="91"/>
      <c r="H170" s="26">
        <v>0</v>
      </c>
      <c r="I170" s="39">
        <f t="shared" ref="I170:I173" si="28">-J170+H170</f>
        <v>0</v>
      </c>
      <c r="J170" s="26">
        <v>0</v>
      </c>
    </row>
    <row r="171" spans="1:10">
      <c r="A171" s="25"/>
      <c r="B171" s="107" t="s">
        <v>695</v>
      </c>
      <c r="C171" s="20" t="s">
        <v>692</v>
      </c>
      <c r="D171" s="26">
        <v>0</v>
      </c>
      <c r="E171" s="39">
        <f t="shared" si="27"/>
        <v>-10000</v>
      </c>
      <c r="F171" s="26">
        <v>10000</v>
      </c>
      <c r="G171" s="91"/>
      <c r="H171" s="26">
        <v>0</v>
      </c>
      <c r="I171" s="39">
        <f t="shared" si="28"/>
        <v>-10000</v>
      </c>
      <c r="J171" s="26">
        <v>10000</v>
      </c>
    </row>
    <row r="172" spans="1:10">
      <c r="A172" s="25"/>
      <c r="B172" s="107" t="s">
        <v>696</v>
      </c>
      <c r="C172" s="20" t="s">
        <v>693</v>
      </c>
      <c r="D172" s="26">
        <v>0</v>
      </c>
      <c r="E172" s="39">
        <f t="shared" si="27"/>
        <v>-2000</v>
      </c>
      <c r="F172" s="26">
        <v>2000</v>
      </c>
      <c r="G172" s="91"/>
      <c r="H172" s="26">
        <v>0</v>
      </c>
      <c r="I172" s="39">
        <f t="shared" si="28"/>
        <v>-2000</v>
      </c>
      <c r="J172" s="26">
        <v>2000</v>
      </c>
    </row>
    <row r="173" spans="1:10">
      <c r="A173" s="25"/>
      <c r="B173" s="107" t="s">
        <v>551</v>
      </c>
      <c r="C173" s="20" t="s">
        <v>687</v>
      </c>
      <c r="D173" s="26">
        <v>0</v>
      </c>
      <c r="E173" s="39">
        <f t="shared" si="27"/>
        <v>-500</v>
      </c>
      <c r="F173" s="26">
        <v>500</v>
      </c>
      <c r="G173" s="91"/>
      <c r="H173" s="26">
        <v>0</v>
      </c>
      <c r="I173" s="39">
        <f t="shared" si="28"/>
        <v>-500</v>
      </c>
      <c r="J173" s="26">
        <v>500</v>
      </c>
    </row>
    <row r="174" spans="1:10">
      <c r="A174" s="25" t="s">
        <v>171</v>
      </c>
      <c r="B174" s="107" t="s">
        <v>552</v>
      </c>
      <c r="C174" s="20" t="s">
        <v>403</v>
      </c>
      <c r="D174" s="26">
        <v>0</v>
      </c>
      <c r="E174" s="21">
        <f>-F174+D174</f>
        <v>-18000</v>
      </c>
      <c r="F174" s="26">
        <v>18000</v>
      </c>
      <c r="G174" s="91"/>
      <c r="H174" s="26">
        <v>0</v>
      </c>
      <c r="I174" s="21">
        <f>-J174+H174</f>
        <v>-18000</v>
      </c>
      <c r="J174" s="26">
        <v>18000</v>
      </c>
    </row>
    <row r="175" spans="1:10" ht="21">
      <c r="A175" s="32" t="s">
        <v>172</v>
      </c>
      <c r="B175" s="111"/>
      <c r="C175" s="33" t="s">
        <v>173</v>
      </c>
      <c r="D175" s="14">
        <f>SUM(D176,D182,D184,D188,D193,D199,D202,D208,D210)</f>
        <v>0</v>
      </c>
      <c r="E175" s="41">
        <f>SUM(E176,E182,E184,E188,E193,E199,E202,E208,E210)</f>
        <v>-324010</v>
      </c>
      <c r="F175" s="14">
        <f>SUM(F176,F182,F184,F188,F193,F199,F202,F208,F210)</f>
        <v>324010</v>
      </c>
      <c r="H175" s="14">
        <f>SUM(H176,H182,H184,H188,H193,H199,H202,H208,H210)</f>
        <v>0</v>
      </c>
      <c r="I175" s="41">
        <f>SUM(I176,I182,I184,I188,I193,I199,I202,I208,I210)</f>
        <v>-339160</v>
      </c>
      <c r="J175" s="14">
        <f>SUM(J176,J182,J184,J188,J193,J199,J202,J208,J210)</f>
        <v>339160</v>
      </c>
    </row>
    <row r="176" spans="1:10">
      <c r="A176" s="27" t="s">
        <v>174</v>
      </c>
      <c r="B176" s="108"/>
      <c r="C176" s="16" t="s">
        <v>175</v>
      </c>
      <c r="D176" s="43">
        <f>SUM(D177:D181)</f>
        <v>0</v>
      </c>
      <c r="E176" s="18">
        <f>SUM(E177:E181)</f>
        <v>-45000</v>
      </c>
      <c r="F176" s="43">
        <f>SUM(F177:F181)</f>
        <v>45000</v>
      </c>
      <c r="H176" s="43">
        <f>SUM(H177:H181)</f>
        <v>0</v>
      </c>
      <c r="I176" s="18">
        <f>SUM(I177:I181)</f>
        <v>-45000</v>
      </c>
      <c r="J176" s="43">
        <f>SUM(J177:J181)</f>
        <v>45000</v>
      </c>
    </row>
    <row r="177" spans="1:10">
      <c r="A177" s="25" t="s">
        <v>176</v>
      </c>
      <c r="B177" s="107" t="s">
        <v>553</v>
      </c>
      <c r="C177" s="20" t="s">
        <v>177</v>
      </c>
      <c r="D177" s="22">
        <v>0</v>
      </c>
      <c r="E177" s="21">
        <f>-F177+D177</f>
        <v>-5000</v>
      </c>
      <c r="F177" s="96">
        <v>5000</v>
      </c>
      <c r="G177" s="91"/>
      <c r="H177" s="22">
        <v>0</v>
      </c>
      <c r="I177" s="21">
        <f>-J177+H177</f>
        <v>-5000</v>
      </c>
      <c r="J177" s="96">
        <v>5000</v>
      </c>
    </row>
    <row r="178" spans="1:10">
      <c r="A178" s="25" t="s">
        <v>178</v>
      </c>
      <c r="B178" s="107" t="s">
        <v>554</v>
      </c>
      <c r="C178" s="20" t="s">
        <v>179</v>
      </c>
      <c r="D178" s="26">
        <v>0</v>
      </c>
      <c r="E178" s="21">
        <f>-F178+D178</f>
        <v>-14000</v>
      </c>
      <c r="F178" s="96">
        <v>14000</v>
      </c>
      <c r="G178" s="91"/>
      <c r="H178" s="26">
        <v>0</v>
      </c>
      <c r="I178" s="21">
        <f>-J178+H178</f>
        <v>-14000</v>
      </c>
      <c r="J178" s="96">
        <v>14000</v>
      </c>
    </row>
    <row r="179" spans="1:10">
      <c r="A179" s="25" t="s">
        <v>180</v>
      </c>
      <c r="B179" s="107" t="s">
        <v>555</v>
      </c>
      <c r="C179" s="20" t="s">
        <v>181</v>
      </c>
      <c r="D179" s="26">
        <v>0</v>
      </c>
      <c r="E179" s="39">
        <f>-F179+D179</f>
        <v>-23000</v>
      </c>
      <c r="F179" s="26">
        <v>23000</v>
      </c>
      <c r="G179" s="91"/>
      <c r="H179" s="26">
        <v>0</v>
      </c>
      <c r="I179" s="39">
        <f>-J179+H179</f>
        <v>-23000</v>
      </c>
      <c r="J179" s="26">
        <v>23000</v>
      </c>
    </row>
    <row r="180" spans="1:10">
      <c r="A180" s="93" t="s">
        <v>894</v>
      </c>
      <c r="B180" s="109" t="s">
        <v>897</v>
      </c>
      <c r="C180" s="54" t="s">
        <v>895</v>
      </c>
      <c r="D180" s="26">
        <v>0</v>
      </c>
      <c r="E180" s="39">
        <f t="shared" ref="E180:E181" si="29">-F180+D180</f>
        <v>0</v>
      </c>
      <c r="F180" s="26">
        <v>0</v>
      </c>
      <c r="G180" s="91"/>
      <c r="H180" s="26">
        <v>0</v>
      </c>
      <c r="I180" s="39">
        <f t="shared" ref="I180:I181" si="30">-J180+H180</f>
        <v>0</v>
      </c>
      <c r="J180" s="26">
        <v>0</v>
      </c>
    </row>
    <row r="181" spans="1:10">
      <c r="A181" s="93"/>
      <c r="B181" s="109" t="s">
        <v>898</v>
      </c>
      <c r="C181" s="54" t="s">
        <v>896</v>
      </c>
      <c r="D181" s="26">
        <v>0</v>
      </c>
      <c r="E181" s="39">
        <f t="shared" si="29"/>
        <v>-3000</v>
      </c>
      <c r="F181" s="26">
        <v>3000</v>
      </c>
      <c r="G181" s="91"/>
      <c r="H181" s="26">
        <v>0</v>
      </c>
      <c r="I181" s="39">
        <f t="shared" si="30"/>
        <v>-3000</v>
      </c>
      <c r="J181" s="26">
        <v>3000</v>
      </c>
    </row>
    <row r="182" spans="1:10">
      <c r="A182" s="27" t="s">
        <v>182</v>
      </c>
      <c r="B182" s="108"/>
      <c r="C182" s="16" t="s">
        <v>183</v>
      </c>
      <c r="D182" s="43">
        <f>SUM(D183:D183)</f>
        <v>0</v>
      </c>
      <c r="E182" s="18">
        <f>SUM(E183)</f>
        <v>-2000</v>
      </c>
      <c r="F182" s="43">
        <f>SUM(F183:F183)</f>
        <v>2000</v>
      </c>
      <c r="H182" s="43">
        <f>SUM(H183:H183)</f>
        <v>0</v>
      </c>
      <c r="I182" s="18">
        <f>SUM(I183)</f>
        <v>-2000</v>
      </c>
      <c r="J182" s="43">
        <f>SUM(J183:J183)</f>
        <v>2000</v>
      </c>
    </row>
    <row r="183" spans="1:10">
      <c r="A183" s="25" t="s">
        <v>184</v>
      </c>
      <c r="B183" s="107" t="s">
        <v>556</v>
      </c>
      <c r="C183" s="20" t="s">
        <v>183</v>
      </c>
      <c r="D183" s="22">
        <v>0</v>
      </c>
      <c r="E183" s="21">
        <f>-F183+D183</f>
        <v>-2000</v>
      </c>
      <c r="F183" s="26">
        <v>2000</v>
      </c>
      <c r="G183" s="91"/>
      <c r="H183" s="22">
        <v>0</v>
      </c>
      <c r="I183" s="21">
        <f>-J183+H183</f>
        <v>-2000</v>
      </c>
      <c r="J183" s="26">
        <v>2000</v>
      </c>
    </row>
    <row r="184" spans="1:10">
      <c r="A184" s="27" t="s">
        <v>185</v>
      </c>
      <c r="B184" s="108"/>
      <c r="C184" s="16" t="s">
        <v>186</v>
      </c>
      <c r="D184" s="43">
        <f>SUM(D185:D187)</f>
        <v>0</v>
      </c>
      <c r="E184" s="18">
        <f>SUM(E185:E187)</f>
        <v>-24000</v>
      </c>
      <c r="F184" s="43">
        <f>SUM(F185:F187)</f>
        <v>24000</v>
      </c>
      <c r="H184" s="43">
        <f>SUM(H185:H187)</f>
        <v>0</v>
      </c>
      <c r="I184" s="18">
        <f>SUM(I185:I187)</f>
        <v>-24000</v>
      </c>
      <c r="J184" s="43">
        <f>SUM(J185:J187)</f>
        <v>24000</v>
      </c>
    </row>
    <row r="185" spans="1:10">
      <c r="A185" s="25" t="s">
        <v>187</v>
      </c>
      <c r="B185" s="107" t="s">
        <v>558</v>
      </c>
      <c r="C185" s="20" t="s">
        <v>188</v>
      </c>
      <c r="D185" s="22">
        <v>0</v>
      </c>
      <c r="E185" s="21">
        <f>-F185+D185</f>
        <v>-100</v>
      </c>
      <c r="F185" s="26">
        <v>100</v>
      </c>
      <c r="G185" s="91"/>
      <c r="H185" s="22">
        <v>0</v>
      </c>
      <c r="I185" s="21">
        <f>-J185+H185</f>
        <v>-100</v>
      </c>
      <c r="J185" s="26">
        <v>100</v>
      </c>
    </row>
    <row r="186" spans="1:10">
      <c r="A186" s="25" t="s">
        <v>189</v>
      </c>
      <c r="B186" s="107" t="s">
        <v>559</v>
      </c>
      <c r="C186" s="20" t="s">
        <v>190</v>
      </c>
      <c r="D186" s="22">
        <v>0</v>
      </c>
      <c r="E186" s="21">
        <f>-F186+D186</f>
        <v>-900</v>
      </c>
      <c r="F186" s="26">
        <v>900</v>
      </c>
      <c r="G186" s="91"/>
      <c r="H186" s="22">
        <v>0</v>
      </c>
      <c r="I186" s="21">
        <f>-J186+H186</f>
        <v>-900</v>
      </c>
      <c r="J186" s="26">
        <v>900</v>
      </c>
    </row>
    <row r="187" spans="1:10">
      <c r="A187" s="93" t="s">
        <v>411</v>
      </c>
      <c r="B187" s="109" t="s">
        <v>606</v>
      </c>
      <c r="C187" s="54" t="s">
        <v>412</v>
      </c>
      <c r="D187" s="26">
        <v>0</v>
      </c>
      <c r="E187" s="39">
        <f>-F187+D187</f>
        <v>-23000</v>
      </c>
      <c r="F187" s="26">
        <v>23000</v>
      </c>
      <c r="G187" s="91"/>
      <c r="H187" s="26">
        <v>0</v>
      </c>
      <c r="I187" s="39">
        <f>-J187+H187</f>
        <v>-23000</v>
      </c>
      <c r="J187" s="26">
        <v>23000</v>
      </c>
    </row>
    <row r="188" spans="1:10">
      <c r="A188" s="27" t="s">
        <v>191</v>
      </c>
      <c r="B188" s="108"/>
      <c r="C188" s="16" t="s">
        <v>192</v>
      </c>
      <c r="D188" s="43">
        <f>SUM(D189:D192)</f>
        <v>0</v>
      </c>
      <c r="E188" s="18">
        <f>SUM(E189:E192)</f>
        <v>-48000</v>
      </c>
      <c r="F188" s="43">
        <f>SUM(F189:F192)</f>
        <v>48000</v>
      </c>
      <c r="H188" s="43">
        <f>SUM(H189:H192)</f>
        <v>0</v>
      </c>
      <c r="I188" s="18">
        <f>SUM(I189:I192)</f>
        <v>-58000</v>
      </c>
      <c r="J188" s="43">
        <f>SUM(J189:J192)</f>
        <v>58000</v>
      </c>
    </row>
    <row r="189" spans="1:10">
      <c r="A189" s="159" t="s">
        <v>193</v>
      </c>
      <c r="B189" s="160" t="s">
        <v>700</v>
      </c>
      <c r="C189" s="161" t="s">
        <v>697</v>
      </c>
      <c r="D189" s="162">
        <v>0</v>
      </c>
      <c r="E189" s="163">
        <f>-F189+D189</f>
        <v>-4000</v>
      </c>
      <c r="F189" s="162">
        <v>4000</v>
      </c>
      <c r="G189" s="164"/>
      <c r="H189" s="26">
        <v>0</v>
      </c>
      <c r="I189" s="39">
        <f>-J189+H189</f>
        <v>-7000</v>
      </c>
      <c r="J189" s="26">
        <v>7000</v>
      </c>
    </row>
    <row r="190" spans="1:10">
      <c r="A190" s="159"/>
      <c r="B190" s="160" t="s">
        <v>701</v>
      </c>
      <c r="C190" s="161" t="s">
        <v>698</v>
      </c>
      <c r="D190" s="162">
        <v>0</v>
      </c>
      <c r="E190" s="163">
        <f>-F190+D190</f>
        <v>-20000</v>
      </c>
      <c r="F190" s="162">
        <v>20000</v>
      </c>
      <c r="G190" s="164"/>
      <c r="H190" s="26">
        <v>0</v>
      </c>
      <c r="I190" s="39">
        <f>-J190+H190</f>
        <v>-22000</v>
      </c>
      <c r="J190" s="26">
        <v>22000</v>
      </c>
    </row>
    <row r="191" spans="1:10">
      <c r="A191" s="159"/>
      <c r="B191" s="160" t="s">
        <v>702</v>
      </c>
      <c r="C191" s="161" t="s">
        <v>699</v>
      </c>
      <c r="D191" s="162">
        <v>0</v>
      </c>
      <c r="E191" s="163">
        <f>-F191+D191</f>
        <v>-20000</v>
      </c>
      <c r="F191" s="162">
        <v>20000</v>
      </c>
      <c r="G191" s="164"/>
      <c r="H191" s="26">
        <v>0</v>
      </c>
      <c r="I191" s="39">
        <f>-J191+H191</f>
        <v>-22000</v>
      </c>
      <c r="J191" s="26">
        <v>22000</v>
      </c>
    </row>
    <row r="192" spans="1:10">
      <c r="A192" s="159" t="s">
        <v>199</v>
      </c>
      <c r="B192" s="160" t="s">
        <v>560</v>
      </c>
      <c r="C192" s="161" t="s">
        <v>200</v>
      </c>
      <c r="D192" s="162">
        <v>0</v>
      </c>
      <c r="E192" s="163">
        <f>-F192+D192</f>
        <v>-4000</v>
      </c>
      <c r="F192" s="162">
        <v>4000</v>
      </c>
      <c r="G192" s="164"/>
      <c r="H192" s="22">
        <v>0</v>
      </c>
      <c r="I192" s="21">
        <f>-J192+H192</f>
        <v>-7000</v>
      </c>
      <c r="J192" s="26">
        <v>7000</v>
      </c>
    </row>
    <row r="193" spans="1:10">
      <c r="A193" s="27" t="s">
        <v>201</v>
      </c>
      <c r="B193" s="108"/>
      <c r="C193" s="16" t="s">
        <v>899</v>
      </c>
      <c r="D193" s="43">
        <f>SUM(D194:D198)</f>
        <v>0</v>
      </c>
      <c r="E193" s="18">
        <f>SUM(E194:E198)</f>
        <v>-34000</v>
      </c>
      <c r="F193" s="43">
        <f>SUM(F194:F198)</f>
        <v>34000</v>
      </c>
      <c r="H193" s="43">
        <f>SUM(H194:H198)</f>
        <v>0</v>
      </c>
      <c r="I193" s="18">
        <f>SUM(I194:I198)</f>
        <v>-34000</v>
      </c>
      <c r="J193" s="43">
        <f>SUM(J194:J198)</f>
        <v>34000</v>
      </c>
    </row>
    <row r="194" spans="1:10">
      <c r="A194" s="93" t="s">
        <v>203</v>
      </c>
      <c r="B194" s="109" t="s">
        <v>705</v>
      </c>
      <c r="C194" s="54" t="s">
        <v>703</v>
      </c>
      <c r="D194" s="26">
        <v>0</v>
      </c>
      <c r="E194" s="39">
        <f>-F194+D194</f>
        <v>0</v>
      </c>
      <c r="F194" s="26">
        <v>0</v>
      </c>
      <c r="G194" s="91"/>
      <c r="H194" s="26">
        <v>0</v>
      </c>
      <c r="I194" s="39">
        <f>-J194+H194</f>
        <v>0</v>
      </c>
      <c r="J194" s="26">
        <v>0</v>
      </c>
    </row>
    <row r="195" spans="1:10">
      <c r="A195" s="93"/>
      <c r="B195" s="109" t="s">
        <v>588</v>
      </c>
      <c r="C195" s="54" t="s">
        <v>704</v>
      </c>
      <c r="D195" s="26">
        <v>0</v>
      </c>
      <c r="E195" s="39">
        <f>-F195+D195</f>
        <v>-16000</v>
      </c>
      <c r="F195" s="26">
        <v>16000</v>
      </c>
      <c r="G195" s="91"/>
      <c r="H195" s="26">
        <v>0</v>
      </c>
      <c r="I195" s="39">
        <f>-J195+H195</f>
        <v>-16000</v>
      </c>
      <c r="J195" s="26">
        <v>16000</v>
      </c>
    </row>
    <row r="196" spans="1:10">
      <c r="A196" s="25" t="s">
        <v>204</v>
      </c>
      <c r="B196" s="109" t="s">
        <v>561</v>
      </c>
      <c r="C196" s="20" t="s">
        <v>706</v>
      </c>
      <c r="D196" s="26">
        <v>0</v>
      </c>
      <c r="E196" s="39">
        <f>-F196+D196</f>
        <v>-1000</v>
      </c>
      <c r="F196" s="26">
        <v>1000</v>
      </c>
      <c r="G196" s="91"/>
      <c r="H196" s="26">
        <v>0</v>
      </c>
      <c r="I196" s="39">
        <f>-J196+H196</f>
        <v>-1000</v>
      </c>
      <c r="J196" s="26">
        <v>1000</v>
      </c>
    </row>
    <row r="197" spans="1:10">
      <c r="A197" s="25"/>
      <c r="B197" s="109" t="s">
        <v>876</v>
      </c>
      <c r="C197" s="20" t="s">
        <v>875</v>
      </c>
      <c r="D197" s="26">
        <v>0</v>
      </c>
      <c r="E197" s="39">
        <f>-F197+D197</f>
        <v>-1000</v>
      </c>
      <c r="F197" s="26">
        <v>1000</v>
      </c>
      <c r="G197" s="91"/>
      <c r="H197" s="26">
        <v>0</v>
      </c>
      <c r="I197" s="39">
        <f>-J197+H197</f>
        <v>-1000</v>
      </c>
      <c r="J197" s="26">
        <v>1000</v>
      </c>
    </row>
    <row r="198" spans="1:10">
      <c r="A198" s="93" t="s">
        <v>900</v>
      </c>
      <c r="B198" s="109" t="s">
        <v>902</v>
      </c>
      <c r="C198" s="54" t="s">
        <v>901</v>
      </c>
      <c r="D198" s="26">
        <v>0</v>
      </c>
      <c r="E198" s="39">
        <f>-F198+D198</f>
        <v>-16000</v>
      </c>
      <c r="F198" s="26">
        <v>16000</v>
      </c>
      <c r="G198" s="91"/>
      <c r="H198" s="26">
        <v>0</v>
      </c>
      <c r="I198" s="39">
        <f>-J198+H198</f>
        <v>-16000</v>
      </c>
      <c r="J198" s="26">
        <v>16000</v>
      </c>
    </row>
    <row r="199" spans="1:10">
      <c r="A199" s="27" t="s">
        <v>206</v>
      </c>
      <c r="B199" s="108"/>
      <c r="C199" s="16" t="s">
        <v>207</v>
      </c>
      <c r="D199" s="43">
        <f>SUM(D200:D201)</f>
        <v>0</v>
      </c>
      <c r="E199" s="18">
        <f>SUM(E200:E201)</f>
        <v>-65000</v>
      </c>
      <c r="F199" s="43">
        <f>SUM(F200:F201)</f>
        <v>65000</v>
      </c>
      <c r="H199" s="43">
        <f>SUM(H200:H201)</f>
        <v>0</v>
      </c>
      <c r="I199" s="18">
        <f>SUM(I200:I201)</f>
        <v>-65000</v>
      </c>
      <c r="J199" s="43">
        <f>SUM(J200:J201)</f>
        <v>65000</v>
      </c>
    </row>
    <row r="200" spans="1:10">
      <c r="A200" s="25" t="s">
        <v>208</v>
      </c>
      <c r="B200" s="107" t="s">
        <v>557</v>
      </c>
      <c r="C200" s="20" t="s">
        <v>209</v>
      </c>
      <c r="D200" s="22">
        <v>0</v>
      </c>
      <c r="E200" s="21">
        <f>-F200+D200</f>
        <v>-15000</v>
      </c>
      <c r="F200" s="26">
        <v>15000</v>
      </c>
      <c r="G200" s="91"/>
      <c r="H200" s="22">
        <v>0</v>
      </c>
      <c r="I200" s="21">
        <f>-J200+H200</f>
        <v>-15000</v>
      </c>
      <c r="J200" s="26">
        <v>15000</v>
      </c>
    </row>
    <row r="201" spans="1:10">
      <c r="A201" s="25" t="s">
        <v>210</v>
      </c>
      <c r="B201" s="107" t="s">
        <v>562</v>
      </c>
      <c r="C201" s="20" t="s">
        <v>211</v>
      </c>
      <c r="D201" s="22">
        <v>0</v>
      </c>
      <c r="E201" s="21">
        <f>-F201+D201</f>
        <v>-50000</v>
      </c>
      <c r="F201" s="26">
        <v>50000</v>
      </c>
      <c r="G201" s="91"/>
      <c r="H201" s="22">
        <v>0</v>
      </c>
      <c r="I201" s="21">
        <f>-J201+H201</f>
        <v>-50000</v>
      </c>
      <c r="J201" s="26">
        <v>50000</v>
      </c>
    </row>
    <row r="202" spans="1:10">
      <c r="A202" s="27" t="s">
        <v>212</v>
      </c>
      <c r="B202" s="108"/>
      <c r="C202" s="16" t="s">
        <v>213</v>
      </c>
      <c r="D202" s="43">
        <f>SUM(D203:D207)</f>
        <v>0</v>
      </c>
      <c r="E202" s="18">
        <f>SUM(E203:E207)</f>
        <v>-66010</v>
      </c>
      <c r="F202" s="43">
        <f>SUM(F203:F207)</f>
        <v>66010</v>
      </c>
      <c r="H202" s="43">
        <f>SUM(H203:H207)</f>
        <v>0</v>
      </c>
      <c r="I202" s="18">
        <f>SUM(I203:I207)</f>
        <v>-66160</v>
      </c>
      <c r="J202" s="43">
        <f>SUM(J203:J207)</f>
        <v>66160</v>
      </c>
    </row>
    <row r="203" spans="1:10">
      <c r="A203" s="25" t="s">
        <v>214</v>
      </c>
      <c r="B203" s="107" t="s">
        <v>563</v>
      </c>
      <c r="C203" s="20" t="s">
        <v>215</v>
      </c>
      <c r="D203" s="22">
        <v>0</v>
      </c>
      <c r="E203" s="21">
        <f>-F203+D203</f>
        <v>-20000</v>
      </c>
      <c r="F203" s="26">
        <v>20000</v>
      </c>
      <c r="G203" s="91"/>
      <c r="H203" s="22">
        <v>0</v>
      </c>
      <c r="I203" s="21">
        <f>-J203+H203</f>
        <v>-20000</v>
      </c>
      <c r="J203" s="26">
        <v>20000</v>
      </c>
    </row>
    <row r="204" spans="1:10">
      <c r="A204" s="25" t="s">
        <v>216</v>
      </c>
      <c r="B204" s="107" t="s">
        <v>564</v>
      </c>
      <c r="C204" s="20" t="s">
        <v>132</v>
      </c>
      <c r="D204" s="22">
        <v>0</v>
      </c>
      <c r="E204" s="21">
        <f>-F204+D204</f>
        <v>-5000</v>
      </c>
      <c r="F204" s="26">
        <v>5000</v>
      </c>
      <c r="G204" s="91"/>
      <c r="H204" s="22">
        <v>0</v>
      </c>
      <c r="I204" s="21">
        <f>-J204+H204</f>
        <v>-5000</v>
      </c>
      <c r="J204" s="26">
        <v>5000</v>
      </c>
    </row>
    <row r="205" spans="1:10">
      <c r="A205" s="159" t="s">
        <v>217</v>
      </c>
      <c r="B205" s="160" t="s">
        <v>565</v>
      </c>
      <c r="C205" s="161" t="s">
        <v>218</v>
      </c>
      <c r="D205" s="162">
        <v>0</v>
      </c>
      <c r="E205" s="163">
        <f>-F205+D205</f>
        <v>-21010</v>
      </c>
      <c r="F205" s="162">
        <v>21010</v>
      </c>
      <c r="G205" s="164"/>
      <c r="H205" s="26">
        <v>0</v>
      </c>
      <c r="I205" s="39">
        <f>-J205+H205</f>
        <v>-21160</v>
      </c>
      <c r="J205" s="26">
        <v>21160</v>
      </c>
    </row>
    <row r="206" spans="1:10">
      <c r="A206" s="25" t="s">
        <v>219</v>
      </c>
      <c r="B206" s="107" t="s">
        <v>566</v>
      </c>
      <c r="C206" s="20" t="s">
        <v>220</v>
      </c>
      <c r="D206" s="22">
        <v>0</v>
      </c>
      <c r="E206" s="21">
        <f>-F206+D206</f>
        <v>-5000</v>
      </c>
      <c r="F206" s="26">
        <v>5000</v>
      </c>
      <c r="G206" s="91"/>
      <c r="H206" s="22">
        <v>0</v>
      </c>
      <c r="I206" s="21">
        <f>-J206+H206</f>
        <v>-5000</v>
      </c>
      <c r="J206" s="26">
        <v>5000</v>
      </c>
    </row>
    <row r="207" spans="1:10">
      <c r="A207" s="25" t="s">
        <v>418</v>
      </c>
      <c r="B207" s="107" t="s">
        <v>567</v>
      </c>
      <c r="C207" s="20" t="s">
        <v>419</v>
      </c>
      <c r="D207" s="22">
        <v>0</v>
      </c>
      <c r="E207" s="21">
        <f>-F207+D207</f>
        <v>-15000</v>
      </c>
      <c r="F207" s="26">
        <v>15000</v>
      </c>
      <c r="G207" s="91"/>
      <c r="H207" s="22">
        <v>0</v>
      </c>
      <c r="I207" s="21">
        <f>-J207+H207</f>
        <v>-15000</v>
      </c>
      <c r="J207" s="26">
        <v>15000</v>
      </c>
    </row>
    <row r="208" spans="1:10">
      <c r="A208" s="27" t="s">
        <v>221</v>
      </c>
      <c r="B208" s="108"/>
      <c r="C208" s="16" t="s">
        <v>404</v>
      </c>
      <c r="D208" s="43">
        <f>SUM(D209:D209)</f>
        <v>0</v>
      </c>
      <c r="E208" s="18">
        <f>SUM(E209:E209)</f>
        <v>-15000</v>
      </c>
      <c r="F208" s="43">
        <f>SUM(F209:F209)</f>
        <v>15000</v>
      </c>
      <c r="H208" s="43">
        <f>SUM(H209:H209)</f>
        <v>0</v>
      </c>
      <c r="I208" s="18">
        <f>SUM(I209:I209)</f>
        <v>-20000</v>
      </c>
      <c r="J208" s="43">
        <f>SUM(J209:J209)</f>
        <v>20000</v>
      </c>
    </row>
    <row r="209" spans="1:10">
      <c r="A209" s="159" t="s">
        <v>222</v>
      </c>
      <c r="B209" s="160" t="s">
        <v>568</v>
      </c>
      <c r="C209" s="161" t="s">
        <v>404</v>
      </c>
      <c r="D209" s="162">
        <v>0</v>
      </c>
      <c r="E209" s="163">
        <f>-F209+D209</f>
        <v>-15000</v>
      </c>
      <c r="F209" s="162">
        <v>15000</v>
      </c>
      <c r="G209" s="164"/>
      <c r="H209" s="26">
        <v>0</v>
      </c>
      <c r="I209" s="39">
        <f>-J209+H209</f>
        <v>-20000</v>
      </c>
      <c r="J209" s="26">
        <v>20000</v>
      </c>
    </row>
    <row r="210" spans="1:10">
      <c r="A210" s="27" t="s">
        <v>226</v>
      </c>
      <c r="B210" s="108"/>
      <c r="C210" s="16" t="s">
        <v>316</v>
      </c>
      <c r="D210" s="43">
        <f>SUM(D211:D211)</f>
        <v>0</v>
      </c>
      <c r="E210" s="18">
        <f>SUM(E211:E211)</f>
        <v>-25000</v>
      </c>
      <c r="F210" s="43">
        <f>SUM(F211:F211)</f>
        <v>25000</v>
      </c>
      <c r="H210" s="43">
        <f>SUM(H211:H211)</f>
        <v>0</v>
      </c>
      <c r="I210" s="18">
        <f>SUM(I211:I211)</f>
        <v>-25000</v>
      </c>
      <c r="J210" s="43">
        <f>SUM(J211:J211)</f>
        <v>25000</v>
      </c>
    </row>
    <row r="211" spans="1:10">
      <c r="A211" s="93" t="s">
        <v>228</v>
      </c>
      <c r="B211" s="109" t="s">
        <v>569</v>
      </c>
      <c r="C211" s="54" t="s">
        <v>316</v>
      </c>
      <c r="D211" s="26">
        <v>0</v>
      </c>
      <c r="E211" s="39">
        <f>-F211+D211</f>
        <v>-25000</v>
      </c>
      <c r="F211" s="26">
        <v>25000</v>
      </c>
      <c r="G211" s="91"/>
      <c r="H211" s="26">
        <v>0</v>
      </c>
      <c r="I211" s="39">
        <f>-J211+H211</f>
        <v>-25000</v>
      </c>
      <c r="J211" s="26">
        <v>25000</v>
      </c>
    </row>
    <row r="212" spans="1:10" ht="21">
      <c r="A212" s="32" t="s">
        <v>232</v>
      </c>
      <c r="B212" s="111"/>
      <c r="C212" s="33" t="s">
        <v>233</v>
      </c>
      <c r="D212" s="34">
        <f>SUM(D213,D284,D299)</f>
        <v>0</v>
      </c>
      <c r="E212" s="41">
        <f>SUM(E213,E284,E299)</f>
        <v>-346593.86</v>
      </c>
      <c r="F212" s="34">
        <f>SUM(F213,F284,F299)</f>
        <v>346593.86</v>
      </c>
      <c r="H212" s="34">
        <f>SUM(H213,H284,H299)</f>
        <v>0</v>
      </c>
      <c r="I212" s="41">
        <f>SUM(I213,I284,I299)</f>
        <v>-251985</v>
      </c>
      <c r="J212" s="34">
        <f>SUM(J213,J284,J299)</f>
        <v>251985</v>
      </c>
    </row>
    <row r="213" spans="1:10">
      <c r="A213" s="127" t="s">
        <v>234</v>
      </c>
      <c r="B213" s="128"/>
      <c r="C213" s="129" t="s">
        <v>594</v>
      </c>
      <c r="D213" s="130">
        <f>SUM(D214:D283)</f>
        <v>0</v>
      </c>
      <c r="E213" s="131">
        <f>SUM(E214:E283)</f>
        <v>-294093.86</v>
      </c>
      <c r="F213" s="130">
        <f>SUM(F214:F283)</f>
        <v>294093.86</v>
      </c>
      <c r="G213" s="91"/>
      <c r="H213" s="130">
        <f>SUM(H214:H283)</f>
        <v>0</v>
      </c>
      <c r="I213" s="131">
        <f>SUM(I214:I283)</f>
        <v>-199485</v>
      </c>
      <c r="J213" s="130">
        <f>SUM(J214:J283)</f>
        <v>199485</v>
      </c>
    </row>
    <row r="214" spans="1:10">
      <c r="A214" s="36" t="s">
        <v>236</v>
      </c>
      <c r="B214" s="112" t="s">
        <v>721</v>
      </c>
      <c r="C214" s="20" t="s">
        <v>707</v>
      </c>
      <c r="D214" s="157">
        <v>0</v>
      </c>
      <c r="E214" s="157">
        <f t="shared" ref="E214:E277" si="31">-F214+D214</f>
        <v>0</v>
      </c>
      <c r="F214" s="158">
        <v>0</v>
      </c>
      <c r="G214" s="91"/>
      <c r="H214" s="157">
        <v>0</v>
      </c>
      <c r="I214" s="157">
        <v>0</v>
      </c>
      <c r="J214" s="158">
        <v>0</v>
      </c>
    </row>
    <row r="215" spans="1:10">
      <c r="A215" s="36"/>
      <c r="B215" s="112" t="s">
        <v>722</v>
      </c>
      <c r="C215" s="20" t="s">
        <v>708</v>
      </c>
      <c r="D215" s="26">
        <v>0</v>
      </c>
      <c r="E215" s="39">
        <f t="shared" si="31"/>
        <v>-6920.94</v>
      </c>
      <c r="F215" s="84">
        <v>6920.94</v>
      </c>
      <c r="G215" s="91"/>
      <c r="H215" s="26">
        <v>0</v>
      </c>
      <c r="I215" s="39">
        <v>-5715</v>
      </c>
      <c r="J215" s="84">
        <v>5715</v>
      </c>
    </row>
    <row r="216" spans="1:10">
      <c r="A216" s="36" t="s">
        <v>238</v>
      </c>
      <c r="B216" s="112" t="s">
        <v>723</v>
      </c>
      <c r="C216" s="20" t="s">
        <v>709</v>
      </c>
      <c r="D216" s="26">
        <v>0</v>
      </c>
      <c r="E216" s="39">
        <f t="shared" si="31"/>
        <v>0</v>
      </c>
      <c r="F216" s="84">
        <v>0</v>
      </c>
      <c r="G216" s="91"/>
      <c r="H216" s="26">
        <v>0</v>
      </c>
      <c r="I216" s="39">
        <v>0</v>
      </c>
      <c r="J216" s="84">
        <v>0</v>
      </c>
    </row>
    <row r="217" spans="1:10">
      <c r="A217" s="36"/>
      <c r="B217" s="112" t="s">
        <v>725</v>
      </c>
      <c r="C217" s="20" t="s">
        <v>710</v>
      </c>
      <c r="D217" s="26">
        <v>0</v>
      </c>
      <c r="E217" s="39">
        <f t="shared" si="31"/>
        <v>-5493.72</v>
      </c>
      <c r="F217" s="84">
        <v>5493.72</v>
      </c>
      <c r="G217" s="91"/>
      <c r="H217" s="26">
        <v>0</v>
      </c>
      <c r="I217" s="39">
        <v>-5715</v>
      </c>
      <c r="J217" s="84">
        <v>5715</v>
      </c>
    </row>
    <row r="218" spans="1:10">
      <c r="A218" s="36" t="s">
        <v>240</v>
      </c>
      <c r="B218" s="112" t="s">
        <v>724</v>
      </c>
      <c r="C218" s="37" t="s">
        <v>711</v>
      </c>
      <c r="D218" s="26">
        <v>0</v>
      </c>
      <c r="E218" s="39">
        <f t="shared" si="31"/>
        <v>0</v>
      </c>
      <c r="F218" s="84">
        <v>0</v>
      </c>
      <c r="G218" s="91"/>
      <c r="H218" s="26">
        <v>0</v>
      </c>
      <c r="I218" s="39">
        <v>0</v>
      </c>
      <c r="J218" s="84">
        <v>0</v>
      </c>
    </row>
    <row r="219" spans="1:10">
      <c r="A219" s="36"/>
      <c r="B219" s="112" t="s">
        <v>726</v>
      </c>
      <c r="C219" s="37" t="s">
        <v>712</v>
      </c>
      <c r="D219" s="26">
        <v>0</v>
      </c>
      <c r="E219" s="39">
        <f t="shared" si="31"/>
        <v>-22656.67</v>
      </c>
      <c r="F219" s="84">
        <v>22656.67</v>
      </c>
      <c r="G219" s="91"/>
      <c r="H219" s="26">
        <v>0</v>
      </c>
      <c r="I219" s="39">
        <v>-5175</v>
      </c>
      <c r="J219" s="84">
        <v>5175</v>
      </c>
    </row>
    <row r="220" spans="1:10">
      <c r="A220" s="36" t="s">
        <v>242</v>
      </c>
      <c r="B220" s="112" t="s">
        <v>727</v>
      </c>
      <c r="C220" s="57" t="s">
        <v>713</v>
      </c>
      <c r="D220" s="26">
        <v>0</v>
      </c>
      <c r="E220" s="39">
        <f t="shared" si="31"/>
        <v>0</v>
      </c>
      <c r="F220" s="84">
        <v>0</v>
      </c>
      <c r="G220" s="91"/>
      <c r="H220" s="26">
        <v>0</v>
      </c>
      <c r="I220" s="39">
        <v>0</v>
      </c>
      <c r="J220" s="84">
        <v>0</v>
      </c>
    </row>
    <row r="221" spans="1:10">
      <c r="A221" s="36"/>
      <c r="B221" s="112" t="s">
        <v>729</v>
      </c>
      <c r="C221" s="57" t="s">
        <v>714</v>
      </c>
      <c r="D221" s="26">
        <v>0</v>
      </c>
      <c r="E221" s="39">
        <f t="shared" si="31"/>
        <v>-3732.33</v>
      </c>
      <c r="F221" s="84">
        <v>3732.33</v>
      </c>
      <c r="G221" s="91"/>
      <c r="H221" s="26">
        <v>0</v>
      </c>
      <c r="I221" s="39">
        <v>-5715</v>
      </c>
      <c r="J221" s="84">
        <v>5715</v>
      </c>
    </row>
    <row r="222" spans="1:10">
      <c r="A222" s="36" t="s">
        <v>244</v>
      </c>
      <c r="B222" s="112" t="s">
        <v>728</v>
      </c>
      <c r="C222" s="57" t="s">
        <v>715</v>
      </c>
      <c r="D222" s="26">
        <v>0</v>
      </c>
      <c r="E222" s="39">
        <f t="shared" si="31"/>
        <v>0</v>
      </c>
      <c r="F222" s="84">
        <v>0</v>
      </c>
      <c r="G222" s="91"/>
      <c r="H222" s="26">
        <v>0</v>
      </c>
      <c r="I222" s="39">
        <v>0</v>
      </c>
      <c r="J222" s="84">
        <v>0</v>
      </c>
    </row>
    <row r="223" spans="1:10">
      <c r="A223" s="36"/>
      <c r="B223" s="112" t="s">
        <v>730</v>
      </c>
      <c r="C223" s="57" t="s">
        <v>716</v>
      </c>
      <c r="D223" s="26">
        <v>0</v>
      </c>
      <c r="E223" s="39">
        <f t="shared" si="31"/>
        <v>-14239.5</v>
      </c>
      <c r="F223" s="84">
        <v>14239.5</v>
      </c>
      <c r="G223" s="91"/>
      <c r="H223" s="26">
        <v>0</v>
      </c>
      <c r="I223" s="39">
        <v>-5715</v>
      </c>
      <c r="J223" s="84">
        <v>5715</v>
      </c>
    </row>
    <row r="224" spans="1:10">
      <c r="A224" s="36" t="s">
        <v>246</v>
      </c>
      <c r="B224" s="112" t="s">
        <v>731</v>
      </c>
      <c r="C224" s="57" t="s">
        <v>717</v>
      </c>
      <c r="D224" s="26">
        <v>0</v>
      </c>
      <c r="E224" s="39">
        <f t="shared" si="31"/>
        <v>0</v>
      </c>
      <c r="F224" s="84">
        <v>0</v>
      </c>
      <c r="G224" s="91"/>
      <c r="H224" s="26">
        <v>0</v>
      </c>
      <c r="I224" s="39">
        <v>0</v>
      </c>
      <c r="J224" s="84">
        <v>0</v>
      </c>
    </row>
    <row r="225" spans="1:10">
      <c r="A225" s="36"/>
      <c r="B225" s="112" t="s">
        <v>732</v>
      </c>
      <c r="C225" s="57" t="s">
        <v>718</v>
      </c>
      <c r="D225" s="26">
        <v>0</v>
      </c>
      <c r="E225" s="39">
        <f t="shared" si="31"/>
        <v>-8530.2900000000009</v>
      </c>
      <c r="F225" s="84">
        <v>8530.2900000000009</v>
      </c>
      <c r="G225" s="91"/>
      <c r="H225" s="26">
        <v>0</v>
      </c>
      <c r="I225" s="39">
        <v>-5715</v>
      </c>
      <c r="J225" s="84">
        <v>5715</v>
      </c>
    </row>
    <row r="226" spans="1:10">
      <c r="A226" s="36" t="s">
        <v>248</v>
      </c>
      <c r="B226" s="112" t="s">
        <v>733</v>
      </c>
      <c r="C226" s="20" t="s">
        <v>719</v>
      </c>
      <c r="D226" s="26">
        <v>0</v>
      </c>
      <c r="E226" s="39">
        <f t="shared" si="31"/>
        <v>0</v>
      </c>
      <c r="F226" s="84">
        <v>0</v>
      </c>
      <c r="G226" s="91"/>
      <c r="H226" s="26">
        <v>0</v>
      </c>
      <c r="I226" s="39">
        <v>0</v>
      </c>
      <c r="J226" s="84">
        <v>0</v>
      </c>
    </row>
    <row r="227" spans="1:10">
      <c r="A227" s="36"/>
      <c r="B227" s="112" t="s">
        <v>734</v>
      </c>
      <c r="C227" s="20" t="s">
        <v>720</v>
      </c>
      <c r="D227" s="26">
        <v>0</v>
      </c>
      <c r="E227" s="39">
        <f t="shared" si="31"/>
        <v>-6175.09</v>
      </c>
      <c r="F227" s="84">
        <v>6175.09</v>
      </c>
      <c r="G227" s="91"/>
      <c r="H227" s="26">
        <v>0</v>
      </c>
      <c r="I227" s="39">
        <v>-5715</v>
      </c>
      <c r="J227" s="84">
        <v>5715</v>
      </c>
    </row>
    <row r="228" spans="1:10">
      <c r="A228" s="36" t="s">
        <v>250</v>
      </c>
      <c r="B228" s="112" t="s">
        <v>735</v>
      </c>
      <c r="C228" s="20" t="s">
        <v>791</v>
      </c>
      <c r="D228" s="26">
        <v>0</v>
      </c>
      <c r="E228" s="39">
        <f t="shared" si="31"/>
        <v>0</v>
      </c>
      <c r="F228" s="84">
        <v>0</v>
      </c>
      <c r="G228" s="91"/>
      <c r="H228" s="26">
        <v>0</v>
      </c>
      <c r="I228" s="39">
        <v>0</v>
      </c>
      <c r="J228" s="84">
        <v>0</v>
      </c>
    </row>
    <row r="229" spans="1:10">
      <c r="A229" s="36"/>
      <c r="B229" s="112" t="s">
        <v>736</v>
      </c>
      <c r="C229" s="20" t="s">
        <v>792</v>
      </c>
      <c r="D229" s="26">
        <v>0</v>
      </c>
      <c r="E229" s="39">
        <f t="shared" si="31"/>
        <v>-7231.39</v>
      </c>
      <c r="F229" s="84">
        <v>7231.39</v>
      </c>
      <c r="G229" s="91"/>
      <c r="H229" s="26">
        <v>0</v>
      </c>
      <c r="I229" s="39">
        <v>-5715</v>
      </c>
      <c r="J229" s="84">
        <v>5715</v>
      </c>
    </row>
    <row r="230" spans="1:10">
      <c r="A230" s="36" t="s">
        <v>252</v>
      </c>
      <c r="B230" s="112" t="s">
        <v>737</v>
      </c>
      <c r="C230" s="20" t="s">
        <v>793</v>
      </c>
      <c r="D230" s="26">
        <v>0</v>
      </c>
      <c r="E230" s="39">
        <f t="shared" si="31"/>
        <v>0</v>
      </c>
      <c r="F230" s="84">
        <v>0</v>
      </c>
      <c r="G230" s="91"/>
      <c r="H230" s="26">
        <v>0</v>
      </c>
      <c r="I230" s="39">
        <v>0</v>
      </c>
      <c r="J230" s="84">
        <v>0</v>
      </c>
    </row>
    <row r="231" spans="1:10">
      <c r="A231" s="36"/>
      <c r="B231" s="112" t="s">
        <v>738</v>
      </c>
      <c r="C231" s="20" t="s">
        <v>794</v>
      </c>
      <c r="D231" s="26">
        <v>0</v>
      </c>
      <c r="E231" s="39">
        <f t="shared" si="31"/>
        <v>-11554.53</v>
      </c>
      <c r="F231" s="84">
        <v>11554.53</v>
      </c>
      <c r="G231" s="91"/>
      <c r="H231" s="26">
        <v>0</v>
      </c>
      <c r="I231" s="39">
        <v>-5715</v>
      </c>
      <c r="J231" s="84">
        <v>5715</v>
      </c>
    </row>
    <row r="232" spans="1:10">
      <c r="A232" s="36" t="s">
        <v>254</v>
      </c>
      <c r="B232" s="112" t="s">
        <v>739</v>
      </c>
      <c r="C232" s="20" t="s">
        <v>795</v>
      </c>
      <c r="D232" s="26">
        <v>0</v>
      </c>
      <c r="E232" s="39">
        <f t="shared" si="31"/>
        <v>0</v>
      </c>
      <c r="F232" s="84">
        <v>0</v>
      </c>
      <c r="G232" s="91"/>
      <c r="H232" s="26">
        <v>0</v>
      </c>
      <c r="I232" s="39">
        <v>0</v>
      </c>
      <c r="J232" s="84">
        <v>0</v>
      </c>
    </row>
    <row r="233" spans="1:10">
      <c r="A233" s="36"/>
      <c r="B233" s="112" t="s">
        <v>740</v>
      </c>
      <c r="C233" s="20" t="s">
        <v>796</v>
      </c>
      <c r="D233" s="38">
        <v>0</v>
      </c>
      <c r="E233" s="39">
        <f t="shared" si="31"/>
        <v>-8741.07</v>
      </c>
      <c r="F233" s="84">
        <v>8741.07</v>
      </c>
      <c r="G233" s="91"/>
      <c r="H233" s="38">
        <v>0</v>
      </c>
      <c r="I233" s="39">
        <v>-5715</v>
      </c>
      <c r="J233" s="84">
        <v>5715</v>
      </c>
    </row>
    <row r="234" spans="1:10">
      <c r="A234" s="36" t="s">
        <v>256</v>
      </c>
      <c r="B234" s="112" t="s">
        <v>741</v>
      </c>
      <c r="C234" s="20" t="s">
        <v>797</v>
      </c>
      <c r="D234" s="26">
        <v>0</v>
      </c>
      <c r="E234" s="39">
        <f t="shared" si="31"/>
        <v>0</v>
      </c>
      <c r="F234" s="84">
        <v>0</v>
      </c>
      <c r="G234" s="91"/>
      <c r="H234" s="26">
        <v>0</v>
      </c>
      <c r="I234" s="39">
        <v>0</v>
      </c>
      <c r="J234" s="84">
        <v>0</v>
      </c>
    </row>
    <row r="235" spans="1:10">
      <c r="A235" s="36"/>
      <c r="B235" s="112" t="s">
        <v>742</v>
      </c>
      <c r="C235" s="20" t="s">
        <v>798</v>
      </c>
      <c r="D235" s="26">
        <v>0</v>
      </c>
      <c r="E235" s="39">
        <f t="shared" si="31"/>
        <v>-5773.46</v>
      </c>
      <c r="F235" s="84">
        <v>5773.46</v>
      </c>
      <c r="G235" s="91"/>
      <c r="H235" s="26">
        <v>0</v>
      </c>
      <c r="I235" s="39">
        <v>-5715</v>
      </c>
      <c r="J235" s="84">
        <v>5715</v>
      </c>
    </row>
    <row r="236" spans="1:10">
      <c r="A236" s="36" t="s">
        <v>258</v>
      </c>
      <c r="B236" s="112" t="s">
        <v>743</v>
      </c>
      <c r="C236" s="20" t="s">
        <v>799</v>
      </c>
      <c r="D236" s="26">
        <v>0</v>
      </c>
      <c r="E236" s="39">
        <f t="shared" si="31"/>
        <v>0</v>
      </c>
      <c r="F236" s="84">
        <v>0</v>
      </c>
      <c r="G236" s="91"/>
      <c r="H236" s="26">
        <v>0</v>
      </c>
      <c r="I236" s="39">
        <v>0</v>
      </c>
      <c r="J236" s="84">
        <v>0</v>
      </c>
    </row>
    <row r="237" spans="1:10">
      <c r="A237" s="36"/>
      <c r="B237" s="112" t="s">
        <v>744</v>
      </c>
      <c r="C237" s="20" t="s">
        <v>800</v>
      </c>
      <c r="D237" s="38">
        <v>0</v>
      </c>
      <c r="E237" s="39">
        <f t="shared" si="31"/>
        <v>-10533.25</v>
      </c>
      <c r="F237" s="84">
        <v>10533.25</v>
      </c>
      <c r="G237" s="91"/>
      <c r="H237" s="38">
        <v>0</v>
      </c>
      <c r="I237" s="39">
        <v>-5715</v>
      </c>
      <c r="J237" s="84">
        <v>5715</v>
      </c>
    </row>
    <row r="238" spans="1:10">
      <c r="A238" s="36" t="s">
        <v>260</v>
      </c>
      <c r="B238" s="112" t="s">
        <v>745</v>
      </c>
      <c r="C238" s="20" t="s">
        <v>801</v>
      </c>
      <c r="D238" s="26">
        <v>0</v>
      </c>
      <c r="E238" s="39">
        <f t="shared" si="31"/>
        <v>0</v>
      </c>
      <c r="F238" s="84">
        <v>0</v>
      </c>
      <c r="G238" s="91"/>
      <c r="H238" s="26">
        <v>0</v>
      </c>
      <c r="I238" s="39">
        <v>0</v>
      </c>
      <c r="J238" s="84">
        <v>0</v>
      </c>
    </row>
    <row r="239" spans="1:10">
      <c r="A239" s="36"/>
      <c r="B239" s="112" t="s">
        <v>746</v>
      </c>
      <c r="C239" s="20" t="s">
        <v>802</v>
      </c>
      <c r="D239" s="26">
        <v>0</v>
      </c>
      <c r="E239" s="39">
        <f t="shared" si="31"/>
        <v>-7312.85</v>
      </c>
      <c r="F239" s="84">
        <v>7312.85</v>
      </c>
      <c r="G239" s="91"/>
      <c r="H239" s="26">
        <v>0</v>
      </c>
      <c r="I239" s="39">
        <v>-5715</v>
      </c>
      <c r="J239" s="84">
        <v>5715</v>
      </c>
    </row>
    <row r="240" spans="1:10">
      <c r="A240" s="36" t="s">
        <v>262</v>
      </c>
      <c r="B240" s="112" t="s">
        <v>747</v>
      </c>
      <c r="C240" s="54" t="s">
        <v>803</v>
      </c>
      <c r="D240" s="26">
        <v>0</v>
      </c>
      <c r="E240" s="39">
        <f t="shared" si="31"/>
        <v>0</v>
      </c>
      <c r="F240" s="84">
        <v>0</v>
      </c>
      <c r="G240" s="91"/>
      <c r="H240" s="26">
        <v>0</v>
      </c>
      <c r="I240" s="39">
        <v>0</v>
      </c>
      <c r="J240" s="84">
        <v>0</v>
      </c>
    </row>
    <row r="241" spans="1:10">
      <c r="A241" s="36"/>
      <c r="B241" s="112" t="s">
        <v>748</v>
      </c>
      <c r="C241" s="54" t="s">
        <v>804</v>
      </c>
      <c r="D241" s="26">
        <v>0</v>
      </c>
      <c r="E241" s="39">
        <f t="shared" si="31"/>
        <v>-6762.94</v>
      </c>
      <c r="F241" s="84">
        <v>6762.94</v>
      </c>
      <c r="G241" s="91"/>
      <c r="H241" s="26">
        <v>0</v>
      </c>
      <c r="I241" s="39">
        <v>-5715</v>
      </c>
      <c r="J241" s="84">
        <v>5715</v>
      </c>
    </row>
    <row r="242" spans="1:10">
      <c r="A242" s="36" t="s">
        <v>264</v>
      </c>
      <c r="B242" s="112" t="s">
        <v>749</v>
      </c>
      <c r="C242" s="20" t="s">
        <v>805</v>
      </c>
      <c r="D242" s="26">
        <v>0</v>
      </c>
      <c r="E242" s="39">
        <f t="shared" si="31"/>
        <v>0</v>
      </c>
      <c r="F242" s="84">
        <v>0</v>
      </c>
      <c r="G242" s="91"/>
      <c r="H242" s="26">
        <v>0</v>
      </c>
      <c r="I242" s="39">
        <v>0</v>
      </c>
      <c r="J242" s="84">
        <v>0</v>
      </c>
    </row>
    <row r="243" spans="1:10">
      <c r="A243" s="36"/>
      <c r="B243" s="112" t="s">
        <v>750</v>
      </c>
      <c r="C243" s="20" t="s">
        <v>806</v>
      </c>
      <c r="D243" s="26">
        <v>0</v>
      </c>
      <c r="E243" s="39">
        <f t="shared" si="31"/>
        <v>-6371.84</v>
      </c>
      <c r="F243" s="84">
        <v>6371.84</v>
      </c>
      <c r="G243" s="91"/>
      <c r="H243" s="26">
        <v>0</v>
      </c>
      <c r="I243" s="39">
        <v>-5715</v>
      </c>
      <c r="J243" s="84">
        <v>5715</v>
      </c>
    </row>
    <row r="244" spans="1:10">
      <c r="A244" s="36" t="s">
        <v>266</v>
      </c>
      <c r="B244" s="112" t="s">
        <v>751</v>
      </c>
      <c r="C244" s="20" t="s">
        <v>807</v>
      </c>
      <c r="D244" s="26">
        <v>0</v>
      </c>
      <c r="E244" s="39">
        <f t="shared" si="31"/>
        <v>0</v>
      </c>
      <c r="F244" s="84">
        <v>0</v>
      </c>
      <c r="G244" s="91"/>
      <c r="H244" s="26">
        <v>0</v>
      </c>
      <c r="I244" s="39">
        <v>0</v>
      </c>
      <c r="J244" s="84">
        <v>0</v>
      </c>
    </row>
    <row r="245" spans="1:10">
      <c r="A245" s="36"/>
      <c r="B245" s="112" t="s">
        <v>752</v>
      </c>
      <c r="C245" s="20" t="s">
        <v>808</v>
      </c>
      <c r="D245" s="26">
        <v>0</v>
      </c>
      <c r="E245" s="39">
        <f t="shared" si="31"/>
        <v>-5537.82</v>
      </c>
      <c r="F245" s="84">
        <v>5537.82</v>
      </c>
      <c r="G245" s="91"/>
      <c r="H245" s="26">
        <v>0</v>
      </c>
      <c r="I245" s="39">
        <v>-5715</v>
      </c>
      <c r="J245" s="84">
        <v>5715</v>
      </c>
    </row>
    <row r="246" spans="1:10">
      <c r="A246" s="36" t="s">
        <v>268</v>
      </c>
      <c r="B246" s="112" t="s">
        <v>753</v>
      </c>
      <c r="C246" s="20" t="s">
        <v>809</v>
      </c>
      <c r="D246" s="26">
        <v>0</v>
      </c>
      <c r="E246" s="39">
        <f t="shared" si="31"/>
        <v>0</v>
      </c>
      <c r="F246" s="84">
        <v>0</v>
      </c>
      <c r="G246" s="91"/>
      <c r="H246" s="26">
        <v>0</v>
      </c>
      <c r="I246" s="39">
        <v>0</v>
      </c>
      <c r="J246" s="84">
        <v>0</v>
      </c>
    </row>
    <row r="247" spans="1:10">
      <c r="A247" s="36"/>
      <c r="B247" s="112" t="s">
        <v>754</v>
      </c>
      <c r="C247" s="20" t="s">
        <v>810</v>
      </c>
      <c r="D247" s="26">
        <v>0</v>
      </c>
      <c r="E247" s="39">
        <f t="shared" si="31"/>
        <v>-5534.85</v>
      </c>
      <c r="F247" s="84">
        <v>5534.85</v>
      </c>
      <c r="G247" s="91"/>
      <c r="H247" s="26">
        <v>0</v>
      </c>
      <c r="I247" s="39">
        <v>-5715</v>
      </c>
      <c r="J247" s="84">
        <v>5715</v>
      </c>
    </row>
    <row r="248" spans="1:10">
      <c r="A248" s="36" t="s">
        <v>270</v>
      </c>
      <c r="B248" s="112" t="s">
        <v>755</v>
      </c>
      <c r="C248" s="20" t="s">
        <v>811</v>
      </c>
      <c r="D248" s="26">
        <v>0</v>
      </c>
      <c r="E248" s="39">
        <f t="shared" si="31"/>
        <v>0</v>
      </c>
      <c r="F248" s="84">
        <v>0</v>
      </c>
      <c r="G248" s="91"/>
      <c r="H248" s="26">
        <v>0</v>
      </c>
      <c r="I248" s="39">
        <v>0</v>
      </c>
      <c r="J248" s="84">
        <v>0</v>
      </c>
    </row>
    <row r="249" spans="1:10">
      <c r="A249" s="36"/>
      <c r="B249" s="112" t="s">
        <v>756</v>
      </c>
      <c r="C249" s="20" t="s">
        <v>812</v>
      </c>
      <c r="D249" s="26">
        <v>0</v>
      </c>
      <c r="E249" s="39">
        <f t="shared" si="31"/>
        <v>-3890.25</v>
      </c>
      <c r="F249" s="84">
        <v>3890.25</v>
      </c>
      <c r="G249" s="91"/>
      <c r="H249" s="26">
        <v>0</v>
      </c>
      <c r="I249" s="39">
        <v>-5715</v>
      </c>
      <c r="J249" s="84">
        <v>5715</v>
      </c>
    </row>
    <row r="250" spans="1:10">
      <c r="A250" s="36" t="s">
        <v>272</v>
      </c>
      <c r="B250" s="112" t="s">
        <v>757</v>
      </c>
      <c r="C250" s="20" t="s">
        <v>813</v>
      </c>
      <c r="D250" s="26">
        <v>0</v>
      </c>
      <c r="E250" s="39">
        <f t="shared" si="31"/>
        <v>0</v>
      </c>
      <c r="F250" s="84">
        <v>0</v>
      </c>
      <c r="G250" s="91"/>
      <c r="H250" s="26">
        <v>0</v>
      </c>
      <c r="I250" s="39">
        <v>0</v>
      </c>
      <c r="J250" s="84">
        <v>0</v>
      </c>
    </row>
    <row r="251" spans="1:10">
      <c r="A251" s="36"/>
      <c r="B251" s="112" t="s">
        <v>758</v>
      </c>
      <c r="C251" s="20" t="s">
        <v>814</v>
      </c>
      <c r="D251" s="26">
        <v>0</v>
      </c>
      <c r="E251" s="39">
        <f t="shared" si="31"/>
        <v>-60959.59</v>
      </c>
      <c r="F251" s="84">
        <v>60959.59</v>
      </c>
      <c r="G251" s="91"/>
      <c r="H251" s="26">
        <v>0</v>
      </c>
      <c r="I251" s="39">
        <v>-5715</v>
      </c>
      <c r="J251" s="84">
        <v>5715</v>
      </c>
    </row>
    <row r="252" spans="1:10">
      <c r="A252" s="36" t="s">
        <v>274</v>
      </c>
      <c r="B252" s="112" t="s">
        <v>759</v>
      </c>
      <c r="C252" s="20" t="s">
        <v>815</v>
      </c>
      <c r="D252" s="26">
        <v>0</v>
      </c>
      <c r="E252" s="39">
        <f t="shared" si="31"/>
        <v>0</v>
      </c>
      <c r="F252" s="84">
        <v>0</v>
      </c>
      <c r="G252" s="91"/>
      <c r="H252" s="26">
        <v>0</v>
      </c>
      <c r="I252" s="39">
        <v>0</v>
      </c>
      <c r="J252" s="84">
        <v>0</v>
      </c>
    </row>
    <row r="253" spans="1:10">
      <c r="A253" s="36"/>
      <c r="B253" s="112" t="s">
        <v>760</v>
      </c>
      <c r="C253" s="20" t="s">
        <v>816</v>
      </c>
      <c r="D253" s="26">
        <v>0</v>
      </c>
      <c r="E253" s="39">
        <f t="shared" si="31"/>
        <v>-2786.15</v>
      </c>
      <c r="F253" s="84">
        <v>2786.15</v>
      </c>
      <c r="G253" s="91"/>
      <c r="H253" s="26">
        <v>0</v>
      </c>
      <c r="I253" s="39">
        <v>-5715</v>
      </c>
      <c r="J253" s="84">
        <v>5715</v>
      </c>
    </row>
    <row r="254" spans="1:10">
      <c r="A254" s="36" t="s">
        <v>276</v>
      </c>
      <c r="B254" s="112" t="s">
        <v>761</v>
      </c>
      <c r="C254" s="20" t="s">
        <v>817</v>
      </c>
      <c r="D254" s="26">
        <v>0</v>
      </c>
      <c r="E254" s="39">
        <f t="shared" si="31"/>
        <v>0</v>
      </c>
      <c r="F254" s="84">
        <v>0</v>
      </c>
      <c r="G254" s="91"/>
      <c r="H254" s="26">
        <v>0</v>
      </c>
      <c r="I254" s="39">
        <v>0</v>
      </c>
      <c r="J254" s="84">
        <v>0</v>
      </c>
    </row>
    <row r="255" spans="1:10">
      <c r="A255" s="36"/>
      <c r="B255" s="112" t="s">
        <v>762</v>
      </c>
      <c r="C255" s="20" t="s">
        <v>818</v>
      </c>
      <c r="D255" s="26">
        <v>0</v>
      </c>
      <c r="E255" s="39">
        <f t="shared" si="31"/>
        <v>-6718.96</v>
      </c>
      <c r="F255" s="84">
        <v>6718.96</v>
      </c>
      <c r="G255" s="91"/>
      <c r="H255" s="26">
        <v>0</v>
      </c>
      <c r="I255" s="39">
        <v>-5715</v>
      </c>
      <c r="J255" s="84">
        <v>5715</v>
      </c>
    </row>
    <row r="256" spans="1:10">
      <c r="A256" s="36" t="s">
        <v>278</v>
      </c>
      <c r="B256" s="112" t="s">
        <v>763</v>
      </c>
      <c r="C256" s="20" t="s">
        <v>819</v>
      </c>
      <c r="D256" s="26">
        <v>0</v>
      </c>
      <c r="E256" s="39">
        <f t="shared" si="31"/>
        <v>0</v>
      </c>
      <c r="F256" s="84">
        <v>0</v>
      </c>
      <c r="G256" s="91"/>
      <c r="H256" s="26">
        <v>0</v>
      </c>
      <c r="I256" s="39">
        <v>0</v>
      </c>
      <c r="J256" s="84">
        <v>0</v>
      </c>
    </row>
    <row r="257" spans="1:10">
      <c r="A257" s="36"/>
      <c r="B257" s="112" t="s">
        <v>764</v>
      </c>
      <c r="C257" s="20" t="s">
        <v>820</v>
      </c>
      <c r="D257" s="26">
        <v>0</v>
      </c>
      <c r="E257" s="39">
        <f t="shared" si="31"/>
        <v>-9521.83</v>
      </c>
      <c r="F257" s="84">
        <v>9521.83</v>
      </c>
      <c r="G257" s="91"/>
      <c r="H257" s="26">
        <v>0</v>
      </c>
      <c r="I257" s="39">
        <v>-5715</v>
      </c>
      <c r="J257" s="84">
        <v>5715</v>
      </c>
    </row>
    <row r="258" spans="1:10">
      <c r="A258" s="36" t="s">
        <v>280</v>
      </c>
      <c r="B258" s="112" t="s">
        <v>765</v>
      </c>
      <c r="C258" s="20" t="s">
        <v>821</v>
      </c>
      <c r="D258" s="26">
        <v>0</v>
      </c>
      <c r="E258" s="39">
        <f t="shared" si="31"/>
        <v>0</v>
      </c>
      <c r="F258" s="84">
        <v>0</v>
      </c>
      <c r="G258" s="91"/>
      <c r="H258" s="26">
        <v>0</v>
      </c>
      <c r="I258" s="39">
        <v>0</v>
      </c>
      <c r="J258" s="84">
        <v>0</v>
      </c>
    </row>
    <row r="259" spans="1:10">
      <c r="A259" s="36"/>
      <c r="B259" s="112" t="s">
        <v>766</v>
      </c>
      <c r="C259" s="20" t="s">
        <v>822</v>
      </c>
      <c r="D259" s="26">
        <v>0</v>
      </c>
      <c r="E259" s="39">
        <f t="shared" si="31"/>
        <v>-4868.8500000000004</v>
      </c>
      <c r="F259" s="84">
        <v>4868.8500000000004</v>
      </c>
      <c r="G259" s="91"/>
      <c r="H259" s="26">
        <v>0</v>
      </c>
      <c r="I259" s="39">
        <v>-5715</v>
      </c>
      <c r="J259" s="84">
        <v>5715</v>
      </c>
    </row>
    <row r="260" spans="1:10">
      <c r="A260" s="36" t="s">
        <v>282</v>
      </c>
      <c r="B260" s="112" t="s">
        <v>767</v>
      </c>
      <c r="C260" s="20" t="s">
        <v>823</v>
      </c>
      <c r="D260" s="26">
        <v>0</v>
      </c>
      <c r="E260" s="39">
        <f t="shared" si="31"/>
        <v>0</v>
      </c>
      <c r="F260" s="84">
        <v>0</v>
      </c>
      <c r="G260" s="91"/>
      <c r="H260" s="26">
        <v>0</v>
      </c>
      <c r="I260" s="39">
        <v>0</v>
      </c>
      <c r="J260" s="84">
        <v>0</v>
      </c>
    </row>
    <row r="261" spans="1:10">
      <c r="A261" s="36"/>
      <c r="B261" s="112" t="s">
        <v>768</v>
      </c>
      <c r="C261" s="20" t="s">
        <v>824</v>
      </c>
      <c r="D261" s="26">
        <v>0</v>
      </c>
      <c r="E261" s="39">
        <f t="shared" si="31"/>
        <v>-9260.4699999999993</v>
      </c>
      <c r="F261" s="84">
        <v>9260.4699999999993</v>
      </c>
      <c r="G261" s="91"/>
      <c r="H261" s="26">
        <v>0</v>
      </c>
      <c r="I261" s="39">
        <v>-5715</v>
      </c>
      <c r="J261" s="84">
        <v>5715</v>
      </c>
    </row>
    <row r="262" spans="1:10">
      <c r="A262" s="36" t="s">
        <v>284</v>
      </c>
      <c r="B262" s="112" t="s">
        <v>769</v>
      </c>
      <c r="C262" s="20" t="s">
        <v>825</v>
      </c>
      <c r="D262" s="26">
        <v>0</v>
      </c>
      <c r="E262" s="39">
        <f t="shared" si="31"/>
        <v>0</v>
      </c>
      <c r="F262" s="84">
        <v>0</v>
      </c>
      <c r="G262" s="91"/>
      <c r="H262" s="26">
        <v>0</v>
      </c>
      <c r="I262" s="39">
        <v>0</v>
      </c>
      <c r="J262" s="84">
        <v>0</v>
      </c>
    </row>
    <row r="263" spans="1:10">
      <c r="A263" s="36"/>
      <c r="B263" s="112" t="s">
        <v>770</v>
      </c>
      <c r="C263" s="20" t="s">
        <v>826</v>
      </c>
      <c r="D263" s="26">
        <v>0</v>
      </c>
      <c r="E263" s="39">
        <f t="shared" si="31"/>
        <v>-6107.07</v>
      </c>
      <c r="F263" s="84">
        <v>6107.07</v>
      </c>
      <c r="G263" s="91"/>
      <c r="H263" s="26">
        <v>0</v>
      </c>
      <c r="I263" s="39">
        <v>-5715</v>
      </c>
      <c r="J263" s="84">
        <v>5715</v>
      </c>
    </row>
    <row r="264" spans="1:10">
      <c r="A264" s="36" t="s">
        <v>286</v>
      </c>
      <c r="B264" s="112" t="s">
        <v>771</v>
      </c>
      <c r="C264" s="20" t="s">
        <v>827</v>
      </c>
      <c r="D264" s="26">
        <v>0</v>
      </c>
      <c r="E264" s="39">
        <f t="shared" si="31"/>
        <v>0</v>
      </c>
      <c r="F264" s="84">
        <v>0</v>
      </c>
      <c r="G264" s="91"/>
      <c r="H264" s="26">
        <v>0</v>
      </c>
      <c r="I264" s="39">
        <v>0</v>
      </c>
      <c r="J264" s="84">
        <v>0</v>
      </c>
    </row>
    <row r="265" spans="1:10">
      <c r="A265" s="36"/>
      <c r="B265" s="112" t="s">
        <v>772</v>
      </c>
      <c r="C265" s="20" t="s">
        <v>828</v>
      </c>
      <c r="D265" s="26">
        <v>0</v>
      </c>
      <c r="E265" s="39">
        <f t="shared" si="31"/>
        <v>-6436.61</v>
      </c>
      <c r="F265" s="84">
        <v>6436.61</v>
      </c>
      <c r="G265" s="91"/>
      <c r="H265" s="26">
        <v>0</v>
      </c>
      <c r="I265" s="39">
        <v>-5715</v>
      </c>
      <c r="J265" s="84">
        <v>5715</v>
      </c>
    </row>
    <row r="266" spans="1:10">
      <c r="A266" s="36" t="s">
        <v>288</v>
      </c>
      <c r="B266" s="112" t="s">
        <v>773</v>
      </c>
      <c r="C266" s="20" t="s">
        <v>829</v>
      </c>
      <c r="D266" s="26">
        <v>0</v>
      </c>
      <c r="E266" s="39">
        <f t="shared" si="31"/>
        <v>0</v>
      </c>
      <c r="F266" s="84">
        <v>0</v>
      </c>
      <c r="G266" s="91"/>
      <c r="H266" s="26">
        <v>0</v>
      </c>
      <c r="I266" s="39">
        <v>0</v>
      </c>
      <c r="J266" s="84">
        <v>0</v>
      </c>
    </row>
    <row r="267" spans="1:10">
      <c r="A267" s="36"/>
      <c r="B267" s="112" t="s">
        <v>774</v>
      </c>
      <c r="C267" s="20" t="s">
        <v>830</v>
      </c>
      <c r="D267" s="26">
        <v>0</v>
      </c>
      <c r="E267" s="39">
        <f t="shared" si="31"/>
        <v>-8557.3799999999992</v>
      </c>
      <c r="F267" s="84">
        <v>8557.3799999999992</v>
      </c>
      <c r="G267" s="91"/>
      <c r="H267" s="26">
        <v>0</v>
      </c>
      <c r="I267" s="39">
        <v>-5715</v>
      </c>
      <c r="J267" s="84">
        <v>5715</v>
      </c>
    </row>
    <row r="268" spans="1:10">
      <c r="A268" s="36" t="s">
        <v>290</v>
      </c>
      <c r="B268" s="112" t="s">
        <v>775</v>
      </c>
      <c r="C268" s="20" t="s">
        <v>831</v>
      </c>
      <c r="D268" s="26">
        <v>0</v>
      </c>
      <c r="E268" s="39">
        <f t="shared" si="31"/>
        <v>0</v>
      </c>
      <c r="F268" s="84">
        <v>0</v>
      </c>
      <c r="G268" s="91"/>
      <c r="H268" s="26">
        <v>0</v>
      </c>
      <c r="I268" s="39">
        <v>0</v>
      </c>
      <c r="J268" s="84">
        <v>0</v>
      </c>
    </row>
    <row r="269" spans="1:10">
      <c r="A269" s="36"/>
      <c r="B269" s="112" t="s">
        <v>776</v>
      </c>
      <c r="C269" s="20" t="s">
        <v>832</v>
      </c>
      <c r="D269" s="26">
        <v>0</v>
      </c>
      <c r="E269" s="39">
        <f t="shared" si="31"/>
        <v>-3007.66</v>
      </c>
      <c r="F269" s="84">
        <v>3007.66</v>
      </c>
      <c r="G269" s="91"/>
      <c r="H269" s="26">
        <v>0</v>
      </c>
      <c r="I269" s="39">
        <v>-5715</v>
      </c>
      <c r="J269" s="84">
        <v>5715</v>
      </c>
    </row>
    <row r="270" spans="1:10">
      <c r="A270" s="36" t="s">
        <v>292</v>
      </c>
      <c r="B270" s="112" t="s">
        <v>777</v>
      </c>
      <c r="C270" s="54" t="s">
        <v>833</v>
      </c>
      <c r="D270" s="26">
        <v>0</v>
      </c>
      <c r="E270" s="39">
        <f t="shared" si="31"/>
        <v>0</v>
      </c>
      <c r="F270" s="84">
        <v>0</v>
      </c>
      <c r="G270" s="91"/>
      <c r="H270" s="26">
        <v>0</v>
      </c>
      <c r="I270" s="39">
        <v>0</v>
      </c>
      <c r="J270" s="84">
        <v>0</v>
      </c>
    </row>
    <row r="271" spans="1:10">
      <c r="A271" s="36"/>
      <c r="B271" s="112" t="s">
        <v>778</v>
      </c>
      <c r="C271" s="54" t="s">
        <v>834</v>
      </c>
      <c r="D271" s="26">
        <v>0</v>
      </c>
      <c r="E271" s="39">
        <f t="shared" si="31"/>
        <v>-4370.2</v>
      </c>
      <c r="F271" s="84">
        <v>4370.2</v>
      </c>
      <c r="G271" s="91"/>
      <c r="H271" s="26">
        <v>0</v>
      </c>
      <c r="I271" s="39">
        <v>-5715</v>
      </c>
      <c r="J271" s="84">
        <v>5715</v>
      </c>
    </row>
    <row r="272" spans="1:10">
      <c r="A272" s="36" t="s">
        <v>293</v>
      </c>
      <c r="B272" s="112" t="s">
        <v>779</v>
      </c>
      <c r="C272" s="20" t="s">
        <v>835</v>
      </c>
      <c r="D272" s="26">
        <v>0</v>
      </c>
      <c r="E272" s="39">
        <f t="shared" si="31"/>
        <v>0</v>
      </c>
      <c r="F272" s="84">
        <v>0</v>
      </c>
      <c r="G272" s="91"/>
      <c r="H272" s="26">
        <v>0</v>
      </c>
      <c r="I272" s="39">
        <v>0</v>
      </c>
      <c r="J272" s="84">
        <v>0</v>
      </c>
    </row>
    <row r="273" spans="1:10">
      <c r="A273" s="36"/>
      <c r="B273" s="112" t="s">
        <v>780</v>
      </c>
      <c r="C273" s="20" t="s">
        <v>836</v>
      </c>
      <c r="D273" s="26">
        <v>0</v>
      </c>
      <c r="E273" s="39">
        <f t="shared" si="31"/>
        <v>-2935.69</v>
      </c>
      <c r="F273" s="84">
        <v>2935.69</v>
      </c>
      <c r="G273" s="91"/>
      <c r="H273" s="26">
        <v>0</v>
      </c>
      <c r="I273" s="39">
        <v>-5715</v>
      </c>
      <c r="J273" s="84">
        <v>5715</v>
      </c>
    </row>
    <row r="274" spans="1:10">
      <c r="A274" s="36" t="s">
        <v>295</v>
      </c>
      <c r="B274" s="112" t="s">
        <v>781</v>
      </c>
      <c r="C274" s="20" t="s">
        <v>837</v>
      </c>
      <c r="D274" s="26">
        <v>0</v>
      </c>
      <c r="E274" s="39">
        <f t="shared" si="31"/>
        <v>0</v>
      </c>
      <c r="F274" s="84">
        <v>0</v>
      </c>
      <c r="G274" s="91"/>
      <c r="H274" s="26">
        <v>0</v>
      </c>
      <c r="I274" s="39">
        <v>0</v>
      </c>
      <c r="J274" s="84">
        <v>0</v>
      </c>
    </row>
    <row r="275" spans="1:10">
      <c r="A275" s="36"/>
      <c r="B275" s="112" t="s">
        <v>782</v>
      </c>
      <c r="C275" s="20" t="s">
        <v>838</v>
      </c>
      <c r="D275" s="26">
        <v>0</v>
      </c>
      <c r="E275" s="39">
        <f t="shared" si="31"/>
        <v>-8272.83</v>
      </c>
      <c r="F275" s="84">
        <v>8272.83</v>
      </c>
      <c r="G275" s="91"/>
      <c r="H275" s="26">
        <v>0</v>
      </c>
      <c r="I275" s="39">
        <v>-5715</v>
      </c>
      <c r="J275" s="84">
        <v>5715</v>
      </c>
    </row>
    <row r="276" spans="1:10">
      <c r="A276" s="36" t="s">
        <v>297</v>
      </c>
      <c r="B276" s="112" t="s">
        <v>783</v>
      </c>
      <c r="C276" s="20" t="s">
        <v>839</v>
      </c>
      <c r="D276" s="26">
        <v>0</v>
      </c>
      <c r="E276" s="39">
        <f t="shared" si="31"/>
        <v>0</v>
      </c>
      <c r="F276" s="84">
        <v>0</v>
      </c>
      <c r="G276" s="91"/>
      <c r="H276" s="26">
        <v>0</v>
      </c>
      <c r="I276" s="39">
        <v>0</v>
      </c>
      <c r="J276" s="84">
        <v>0</v>
      </c>
    </row>
    <row r="277" spans="1:10">
      <c r="A277" s="36"/>
      <c r="B277" s="112" t="s">
        <v>784</v>
      </c>
      <c r="C277" s="20" t="s">
        <v>840</v>
      </c>
      <c r="D277" s="26">
        <v>0</v>
      </c>
      <c r="E277" s="39">
        <f t="shared" si="31"/>
        <v>-5930.91</v>
      </c>
      <c r="F277" s="84">
        <v>5930.91</v>
      </c>
      <c r="G277" s="91"/>
      <c r="H277" s="26">
        <v>0</v>
      </c>
      <c r="I277" s="39">
        <v>-5715</v>
      </c>
      <c r="J277" s="84">
        <v>5715</v>
      </c>
    </row>
    <row r="278" spans="1:10">
      <c r="A278" s="36" t="s">
        <v>596</v>
      </c>
      <c r="B278" s="112" t="s">
        <v>785</v>
      </c>
      <c r="C278" s="54" t="s">
        <v>841</v>
      </c>
      <c r="D278" s="26">
        <v>0</v>
      </c>
      <c r="E278" s="39">
        <f t="shared" ref="E278:E283" si="32">-F278+D278</f>
        <v>0</v>
      </c>
      <c r="F278" s="84">
        <v>0</v>
      </c>
      <c r="G278" s="91"/>
      <c r="H278" s="26">
        <v>0</v>
      </c>
      <c r="I278" s="39">
        <v>0</v>
      </c>
      <c r="J278" s="84">
        <v>0</v>
      </c>
    </row>
    <row r="279" spans="1:10">
      <c r="A279" s="36"/>
      <c r="B279" s="112" t="s">
        <v>786</v>
      </c>
      <c r="C279" s="54" t="s">
        <v>842</v>
      </c>
      <c r="D279" s="26">
        <v>0</v>
      </c>
      <c r="E279" s="39">
        <f t="shared" si="32"/>
        <v>-2115.36</v>
      </c>
      <c r="F279" s="84">
        <v>2115.36</v>
      </c>
      <c r="G279" s="91"/>
      <c r="H279" s="26">
        <v>0</v>
      </c>
      <c r="I279" s="39">
        <v>-5715</v>
      </c>
      <c r="J279" s="84">
        <v>5715</v>
      </c>
    </row>
    <row r="280" spans="1:10">
      <c r="A280" s="36" t="s">
        <v>597</v>
      </c>
      <c r="B280" s="112" t="s">
        <v>787</v>
      </c>
      <c r="C280" s="54" t="s">
        <v>843</v>
      </c>
      <c r="D280" s="26">
        <v>0</v>
      </c>
      <c r="E280" s="39">
        <f t="shared" si="32"/>
        <v>0</v>
      </c>
      <c r="F280" s="84">
        <v>0</v>
      </c>
      <c r="G280" s="91"/>
      <c r="H280" s="26">
        <v>0</v>
      </c>
      <c r="I280" s="39">
        <v>0</v>
      </c>
      <c r="J280" s="84">
        <v>0</v>
      </c>
    </row>
    <row r="281" spans="1:10">
      <c r="A281" s="36"/>
      <c r="B281" s="112" t="s">
        <v>788</v>
      </c>
      <c r="C281" s="54" t="s">
        <v>844</v>
      </c>
      <c r="D281" s="26">
        <v>0</v>
      </c>
      <c r="E281" s="39">
        <f t="shared" si="32"/>
        <v>-2010.14</v>
      </c>
      <c r="F281" s="84">
        <v>2010.14</v>
      </c>
      <c r="G281" s="91"/>
      <c r="H281" s="26">
        <v>0</v>
      </c>
      <c r="I281" s="39">
        <v>-5715</v>
      </c>
      <c r="J281" s="84">
        <v>5715</v>
      </c>
    </row>
    <row r="282" spans="1:10">
      <c r="A282" s="36" t="s">
        <v>598</v>
      </c>
      <c r="B282" s="112" t="s">
        <v>789</v>
      </c>
      <c r="C282" s="54" t="s">
        <v>845</v>
      </c>
      <c r="D282" s="26">
        <v>0</v>
      </c>
      <c r="E282" s="39">
        <f t="shared" si="32"/>
        <v>0</v>
      </c>
      <c r="F282" s="84">
        <v>0</v>
      </c>
      <c r="G282" s="91"/>
      <c r="H282" s="26">
        <v>0</v>
      </c>
      <c r="I282" s="39">
        <v>0</v>
      </c>
      <c r="J282" s="84">
        <v>0</v>
      </c>
    </row>
    <row r="283" spans="1:10">
      <c r="A283" s="36"/>
      <c r="B283" s="112" t="s">
        <v>790</v>
      </c>
      <c r="C283" s="54" t="s">
        <v>846</v>
      </c>
      <c r="D283" s="26">
        <v>0</v>
      </c>
      <c r="E283" s="39">
        <f t="shared" si="32"/>
        <v>-3241.37</v>
      </c>
      <c r="F283" s="84">
        <v>3241.37</v>
      </c>
      <c r="G283" s="91"/>
      <c r="H283" s="26">
        <v>0</v>
      </c>
      <c r="I283" s="39">
        <v>-5715</v>
      </c>
      <c r="J283" s="84">
        <v>5715</v>
      </c>
    </row>
    <row r="284" spans="1:10">
      <c r="A284" s="27" t="s">
        <v>298</v>
      </c>
      <c r="B284" s="108"/>
      <c r="C284" s="24" t="s">
        <v>595</v>
      </c>
      <c r="D284" s="43">
        <f>SUM(D285:D298)</f>
        <v>0</v>
      </c>
      <c r="E284" s="18">
        <f>SUM(E285:E298)</f>
        <v>-17500</v>
      </c>
      <c r="F284" s="43">
        <f>SUM(F285:F298)</f>
        <v>17500</v>
      </c>
      <c r="H284" s="43">
        <f>SUM(H285:H298)</f>
        <v>0</v>
      </c>
      <c r="I284" s="18">
        <f>SUM(I285:I298)</f>
        <v>-17500</v>
      </c>
      <c r="J284" s="43">
        <f>SUM(J285:J298)</f>
        <v>17500</v>
      </c>
    </row>
    <row r="285" spans="1:10">
      <c r="A285" s="25" t="s">
        <v>300</v>
      </c>
      <c r="B285" s="107" t="s">
        <v>861</v>
      </c>
      <c r="C285" s="20" t="s">
        <v>847</v>
      </c>
      <c r="D285" s="22">
        <v>0</v>
      </c>
      <c r="E285" s="21">
        <f t="shared" ref="E285:E286" si="33">-F285+D285</f>
        <v>0</v>
      </c>
      <c r="F285" s="26">
        <v>0</v>
      </c>
      <c r="G285" s="91"/>
      <c r="H285" s="22">
        <v>0</v>
      </c>
      <c r="I285" s="21">
        <f t="shared" ref="I285:I286" si="34">-J285+H285</f>
        <v>0</v>
      </c>
      <c r="J285" s="26">
        <v>0</v>
      </c>
    </row>
    <row r="286" spans="1:10">
      <c r="A286" s="25"/>
      <c r="B286" s="107" t="s">
        <v>862</v>
      </c>
      <c r="C286" s="20" t="s">
        <v>848</v>
      </c>
      <c r="D286" s="22">
        <v>0</v>
      </c>
      <c r="E286" s="21">
        <f t="shared" si="33"/>
        <v>-2500</v>
      </c>
      <c r="F286" s="26">
        <v>2500</v>
      </c>
      <c r="G286" s="91"/>
      <c r="H286" s="22">
        <v>0</v>
      </c>
      <c r="I286" s="21">
        <f t="shared" si="34"/>
        <v>-2500</v>
      </c>
      <c r="J286" s="26">
        <v>2500</v>
      </c>
    </row>
    <row r="287" spans="1:10">
      <c r="A287" s="25" t="s">
        <v>302</v>
      </c>
      <c r="B287" s="107" t="s">
        <v>863</v>
      </c>
      <c r="C287" s="20" t="s">
        <v>849</v>
      </c>
      <c r="D287" s="22">
        <v>0</v>
      </c>
      <c r="E287" s="21">
        <f>-F287+D287</f>
        <v>0</v>
      </c>
      <c r="F287" s="26">
        <v>0</v>
      </c>
      <c r="G287" s="91"/>
      <c r="H287" s="22">
        <v>0</v>
      </c>
      <c r="I287" s="21">
        <f>-J287+H287</f>
        <v>0</v>
      </c>
      <c r="J287" s="26">
        <v>0</v>
      </c>
    </row>
    <row r="288" spans="1:10">
      <c r="A288" s="25"/>
      <c r="B288" s="110" t="s">
        <v>864</v>
      </c>
      <c r="C288" s="29" t="s">
        <v>850</v>
      </c>
      <c r="D288" s="22">
        <v>0</v>
      </c>
      <c r="E288" s="21">
        <f t="shared" ref="E288:E298" si="35">-F288+D288</f>
        <v>-2500</v>
      </c>
      <c r="F288" s="26">
        <v>2500</v>
      </c>
      <c r="G288" s="91"/>
      <c r="H288" s="22">
        <v>0</v>
      </c>
      <c r="I288" s="21">
        <f t="shared" ref="I288:I298" si="36">-J288+H288</f>
        <v>-2500</v>
      </c>
      <c r="J288" s="26">
        <v>2500</v>
      </c>
    </row>
    <row r="289" spans="1:10">
      <c r="A289" s="25" t="s">
        <v>304</v>
      </c>
      <c r="B289" s="110" t="s">
        <v>865</v>
      </c>
      <c r="C289" s="29" t="s">
        <v>851</v>
      </c>
      <c r="D289" s="22">
        <v>0</v>
      </c>
      <c r="E289" s="21">
        <f t="shared" si="35"/>
        <v>0</v>
      </c>
      <c r="F289" s="26">
        <v>0</v>
      </c>
      <c r="G289" s="91"/>
      <c r="H289" s="22">
        <v>0</v>
      </c>
      <c r="I289" s="21">
        <f t="shared" si="36"/>
        <v>0</v>
      </c>
      <c r="J289" s="26">
        <v>0</v>
      </c>
    </row>
    <row r="290" spans="1:10">
      <c r="A290" s="25"/>
      <c r="B290" s="110" t="s">
        <v>866</v>
      </c>
      <c r="C290" s="29" t="s">
        <v>852</v>
      </c>
      <c r="D290" s="22">
        <v>0</v>
      </c>
      <c r="E290" s="21">
        <f t="shared" si="35"/>
        <v>-2500</v>
      </c>
      <c r="F290" s="26">
        <v>2500</v>
      </c>
      <c r="G290" s="91"/>
      <c r="H290" s="22">
        <v>0</v>
      </c>
      <c r="I290" s="21">
        <f t="shared" si="36"/>
        <v>-2500</v>
      </c>
      <c r="J290" s="26">
        <v>2500</v>
      </c>
    </row>
    <row r="291" spans="1:10">
      <c r="A291" s="25" t="s">
        <v>305</v>
      </c>
      <c r="B291" s="107" t="s">
        <v>867</v>
      </c>
      <c r="C291" s="20" t="s">
        <v>853</v>
      </c>
      <c r="D291" s="22">
        <v>0</v>
      </c>
      <c r="E291" s="21">
        <f t="shared" si="35"/>
        <v>0</v>
      </c>
      <c r="F291" s="26">
        <v>0</v>
      </c>
      <c r="G291" s="91"/>
      <c r="H291" s="22">
        <v>0</v>
      </c>
      <c r="I291" s="21">
        <f t="shared" si="36"/>
        <v>0</v>
      </c>
      <c r="J291" s="26">
        <v>0</v>
      </c>
    </row>
    <row r="292" spans="1:10">
      <c r="A292" s="25"/>
      <c r="B292" s="107" t="s">
        <v>868</v>
      </c>
      <c r="C292" s="20" t="s">
        <v>854</v>
      </c>
      <c r="D292" s="22">
        <v>0</v>
      </c>
      <c r="E292" s="21">
        <f t="shared" si="35"/>
        <v>-2500</v>
      </c>
      <c r="F292" s="26">
        <v>2500</v>
      </c>
      <c r="G292" s="91"/>
      <c r="H292" s="22">
        <v>0</v>
      </c>
      <c r="I292" s="21">
        <f t="shared" si="36"/>
        <v>-2500</v>
      </c>
      <c r="J292" s="26">
        <v>2500</v>
      </c>
    </row>
    <row r="293" spans="1:10">
      <c r="A293" s="25" t="s">
        <v>307</v>
      </c>
      <c r="B293" s="107" t="s">
        <v>869</v>
      </c>
      <c r="C293" s="20" t="s">
        <v>855</v>
      </c>
      <c r="D293" s="22">
        <v>0</v>
      </c>
      <c r="E293" s="21">
        <f t="shared" si="35"/>
        <v>0</v>
      </c>
      <c r="F293" s="26">
        <v>0</v>
      </c>
      <c r="G293" s="91"/>
      <c r="H293" s="22">
        <v>0</v>
      </c>
      <c r="I293" s="21">
        <f t="shared" si="36"/>
        <v>0</v>
      </c>
      <c r="J293" s="26">
        <v>0</v>
      </c>
    </row>
    <row r="294" spans="1:10">
      <c r="A294" s="25"/>
      <c r="B294" s="107" t="s">
        <v>870</v>
      </c>
      <c r="C294" s="20" t="s">
        <v>856</v>
      </c>
      <c r="D294" s="22">
        <v>0</v>
      </c>
      <c r="E294" s="21">
        <f t="shared" si="35"/>
        <v>-2500</v>
      </c>
      <c r="F294" s="26">
        <v>2500</v>
      </c>
      <c r="G294" s="91"/>
      <c r="H294" s="22">
        <v>0</v>
      </c>
      <c r="I294" s="21">
        <f t="shared" si="36"/>
        <v>-2500</v>
      </c>
      <c r="J294" s="26">
        <v>2500</v>
      </c>
    </row>
    <row r="295" spans="1:10">
      <c r="A295" s="25" t="s">
        <v>309</v>
      </c>
      <c r="B295" s="107" t="s">
        <v>871</v>
      </c>
      <c r="C295" s="20" t="s">
        <v>857</v>
      </c>
      <c r="D295" s="22">
        <v>0</v>
      </c>
      <c r="E295" s="21">
        <f t="shared" si="35"/>
        <v>0</v>
      </c>
      <c r="F295" s="26">
        <v>0</v>
      </c>
      <c r="G295" s="91"/>
      <c r="H295" s="22">
        <v>0</v>
      </c>
      <c r="I295" s="21">
        <f t="shared" si="36"/>
        <v>0</v>
      </c>
      <c r="J295" s="26">
        <v>0</v>
      </c>
    </row>
    <row r="296" spans="1:10">
      <c r="A296" s="25"/>
      <c r="B296" s="107" t="s">
        <v>872</v>
      </c>
      <c r="C296" s="20" t="s">
        <v>858</v>
      </c>
      <c r="D296" s="22">
        <v>0</v>
      </c>
      <c r="E296" s="21">
        <f t="shared" si="35"/>
        <v>-2500</v>
      </c>
      <c r="F296" s="26">
        <v>2500</v>
      </c>
      <c r="G296" s="91"/>
      <c r="H296" s="22">
        <v>0</v>
      </c>
      <c r="I296" s="21">
        <f t="shared" si="36"/>
        <v>-2500</v>
      </c>
      <c r="J296" s="26">
        <v>2500</v>
      </c>
    </row>
    <row r="297" spans="1:10">
      <c r="A297" s="25" t="s">
        <v>420</v>
      </c>
      <c r="B297" s="107" t="s">
        <v>873</v>
      </c>
      <c r="C297" s="20" t="s">
        <v>859</v>
      </c>
      <c r="D297" s="22">
        <v>0</v>
      </c>
      <c r="E297" s="21">
        <f t="shared" si="35"/>
        <v>0</v>
      </c>
      <c r="F297" s="26">
        <v>0</v>
      </c>
      <c r="G297" s="91"/>
      <c r="H297" s="22">
        <v>0</v>
      </c>
      <c r="I297" s="21">
        <f t="shared" si="36"/>
        <v>0</v>
      </c>
      <c r="J297" s="26">
        <v>0</v>
      </c>
    </row>
    <row r="298" spans="1:10">
      <c r="A298" s="25"/>
      <c r="B298" s="107" t="s">
        <v>874</v>
      </c>
      <c r="C298" s="20" t="s">
        <v>860</v>
      </c>
      <c r="D298" s="22">
        <v>0</v>
      </c>
      <c r="E298" s="21">
        <f t="shared" si="35"/>
        <v>-2500</v>
      </c>
      <c r="F298" s="26">
        <v>2500</v>
      </c>
      <c r="G298" s="91"/>
      <c r="H298" s="22">
        <v>0</v>
      </c>
      <c r="I298" s="21">
        <f t="shared" si="36"/>
        <v>-2500</v>
      </c>
      <c r="J298" s="26">
        <v>2500</v>
      </c>
    </row>
    <row r="299" spans="1:10">
      <c r="A299" s="27" t="s">
        <v>311</v>
      </c>
      <c r="B299" s="108"/>
      <c r="C299" s="24" t="s">
        <v>312</v>
      </c>
      <c r="D299" s="43">
        <f>SUM(D300:D300)</f>
        <v>0</v>
      </c>
      <c r="E299" s="18">
        <f>SUM(E300:E300)</f>
        <v>-35000</v>
      </c>
      <c r="F299" s="43">
        <f>SUM(F300:F300)</f>
        <v>35000</v>
      </c>
      <c r="H299" s="43">
        <f>SUM(H300:H300)</f>
        <v>0</v>
      </c>
      <c r="I299" s="18">
        <f>SUM(I300:I300)</f>
        <v>-35000</v>
      </c>
      <c r="J299" s="43">
        <f>SUM(J300:J300)</f>
        <v>35000</v>
      </c>
    </row>
    <row r="300" spans="1:10">
      <c r="A300" s="25" t="s">
        <v>313</v>
      </c>
      <c r="B300" s="107" t="s">
        <v>536</v>
      </c>
      <c r="C300" s="20" t="s">
        <v>314</v>
      </c>
      <c r="D300" s="26">
        <v>0</v>
      </c>
      <c r="E300" s="39">
        <f>-F300+D300</f>
        <v>-35000</v>
      </c>
      <c r="F300" s="26">
        <v>35000</v>
      </c>
      <c r="G300" s="91"/>
      <c r="H300" s="26">
        <v>0</v>
      </c>
      <c r="I300" s="39">
        <f>-J300+H300</f>
        <v>-35000</v>
      </c>
      <c r="J300" s="26">
        <v>35000</v>
      </c>
    </row>
    <row r="301" spans="1:10" ht="21">
      <c r="A301" s="32" t="s">
        <v>317</v>
      </c>
      <c r="B301" s="111"/>
      <c r="C301" s="33" t="s">
        <v>318</v>
      </c>
      <c r="D301" s="34">
        <f>D302</f>
        <v>0</v>
      </c>
      <c r="E301" s="35">
        <f>E302</f>
        <v>-7600</v>
      </c>
      <c r="F301" s="34">
        <f>F302</f>
        <v>7600</v>
      </c>
      <c r="G301" s="91"/>
      <c r="H301" s="34">
        <f>H302</f>
        <v>0</v>
      </c>
      <c r="I301" s="35">
        <f>I302</f>
        <v>-7600</v>
      </c>
      <c r="J301" s="34">
        <f>J302</f>
        <v>7600</v>
      </c>
    </row>
    <row r="302" spans="1:10">
      <c r="A302" s="27" t="s">
        <v>319</v>
      </c>
      <c r="B302" s="108"/>
      <c r="C302" s="16" t="s">
        <v>320</v>
      </c>
      <c r="D302" s="43">
        <f>SUM(D303:D305)</f>
        <v>0</v>
      </c>
      <c r="E302" s="18">
        <f>SUM(E303:E305)</f>
        <v>-7600</v>
      </c>
      <c r="F302" s="43">
        <f>SUM(F303:F305)</f>
        <v>7600</v>
      </c>
      <c r="H302" s="43">
        <f>SUM(H303:H305)</f>
        <v>0</v>
      </c>
      <c r="I302" s="18">
        <f>SUM(I303:I305)</f>
        <v>-7600</v>
      </c>
      <c r="J302" s="43">
        <f>SUM(J303:J305)</f>
        <v>7600</v>
      </c>
    </row>
    <row r="303" spans="1:10">
      <c r="A303" s="25" t="s">
        <v>321</v>
      </c>
      <c r="B303" s="107" t="s">
        <v>583</v>
      </c>
      <c r="C303" s="20" t="s">
        <v>322</v>
      </c>
      <c r="D303" s="22">
        <v>0</v>
      </c>
      <c r="E303" s="21">
        <f>-F303+D303</f>
        <v>-1300</v>
      </c>
      <c r="F303" s="22">
        <v>1300</v>
      </c>
      <c r="H303" s="22">
        <v>0</v>
      </c>
      <c r="I303" s="21">
        <f>-J303+H303</f>
        <v>-1300</v>
      </c>
      <c r="J303" s="22">
        <v>1300</v>
      </c>
    </row>
    <row r="304" spans="1:10">
      <c r="A304" s="25" t="s">
        <v>323</v>
      </c>
      <c r="B304" s="107" t="s">
        <v>584</v>
      </c>
      <c r="C304" s="20" t="s">
        <v>324</v>
      </c>
      <c r="D304" s="22">
        <v>0</v>
      </c>
      <c r="E304" s="21">
        <f>-F304+D304</f>
        <v>-1300</v>
      </c>
      <c r="F304" s="22">
        <v>1300</v>
      </c>
      <c r="G304" s="91"/>
      <c r="H304" s="22">
        <v>0</v>
      </c>
      <c r="I304" s="21">
        <f>-J304+H304</f>
        <v>-1300</v>
      </c>
      <c r="J304" s="22">
        <v>1300</v>
      </c>
    </row>
    <row r="305" spans="1:12">
      <c r="A305" s="25" t="s">
        <v>325</v>
      </c>
      <c r="B305" s="107" t="s">
        <v>585</v>
      </c>
      <c r="C305" s="20" t="s">
        <v>326</v>
      </c>
      <c r="D305" s="22">
        <v>0</v>
      </c>
      <c r="E305" s="21">
        <f>-F305+D305</f>
        <v>-5000</v>
      </c>
      <c r="F305" s="26">
        <v>5000</v>
      </c>
      <c r="G305" s="91"/>
      <c r="H305" s="22">
        <v>0</v>
      </c>
      <c r="I305" s="21">
        <f>-J305+H305</f>
        <v>-5000</v>
      </c>
      <c r="J305" s="26">
        <v>5000</v>
      </c>
    </row>
    <row r="306" spans="1:12" ht="21">
      <c r="A306" s="58" t="s">
        <v>327</v>
      </c>
      <c r="B306" s="114"/>
      <c r="C306" s="33" t="s">
        <v>328</v>
      </c>
      <c r="D306" s="88">
        <f>SUM(D307)</f>
        <v>0</v>
      </c>
      <c r="E306" s="89">
        <f t="shared" ref="E306:F306" si="37">SUM(E307)</f>
        <v>-2051.9699999999998</v>
      </c>
      <c r="F306" s="90">
        <f t="shared" si="37"/>
        <v>2051.9699999999998</v>
      </c>
      <c r="G306" s="91"/>
      <c r="H306" s="88">
        <f>SUM(H307)</f>
        <v>0</v>
      </c>
      <c r="I306" s="89">
        <f t="shared" ref="I306:J306" si="38">SUM(I307)</f>
        <v>-4304.97</v>
      </c>
      <c r="J306" s="90">
        <f t="shared" si="38"/>
        <v>4304.97</v>
      </c>
    </row>
    <row r="307" spans="1:12">
      <c r="A307" s="27" t="s">
        <v>327</v>
      </c>
      <c r="B307" s="108"/>
      <c r="C307" s="16" t="s">
        <v>328</v>
      </c>
      <c r="D307" s="43">
        <f>SUM(D308:D309)</f>
        <v>0</v>
      </c>
      <c r="E307" s="18">
        <f>SUM(E308:E309)</f>
        <v>-2051.9699999999998</v>
      </c>
      <c r="F307" s="43">
        <f>SUM(F308:F309)</f>
        <v>2051.9699999999998</v>
      </c>
      <c r="H307" s="43">
        <f>SUM(H308:H309)</f>
        <v>0</v>
      </c>
      <c r="I307" s="18">
        <f>SUM(I308:I309)</f>
        <v>-4304.97</v>
      </c>
      <c r="J307" s="43">
        <f>SUM(J308:J309)</f>
        <v>4304.97</v>
      </c>
    </row>
    <row r="308" spans="1:12">
      <c r="A308" s="25" t="s">
        <v>329</v>
      </c>
      <c r="B308" s="107" t="s">
        <v>570</v>
      </c>
      <c r="C308" s="20" t="s">
        <v>893</v>
      </c>
      <c r="D308" s="26">
        <v>0</v>
      </c>
      <c r="E308" s="21">
        <f>-F308+D308</f>
        <v>0</v>
      </c>
      <c r="F308" s="96">
        <v>0</v>
      </c>
      <c r="G308" s="91"/>
      <c r="H308" s="26">
        <v>0</v>
      </c>
      <c r="I308" s="21">
        <f>-J308+H308</f>
        <v>0</v>
      </c>
      <c r="J308" s="96">
        <v>0</v>
      </c>
    </row>
    <row r="309" spans="1:12">
      <c r="A309" s="159" t="s">
        <v>329</v>
      </c>
      <c r="B309" s="160" t="s">
        <v>892</v>
      </c>
      <c r="C309" s="161" t="s">
        <v>891</v>
      </c>
      <c r="D309" s="162">
        <v>0</v>
      </c>
      <c r="E309" s="163">
        <f>-F309+D309</f>
        <v>-2051.9699999999998</v>
      </c>
      <c r="F309" s="162">
        <f>4001.97-2100+150</f>
        <v>2051.9699999999998</v>
      </c>
      <c r="G309" s="164"/>
      <c r="H309" s="26">
        <v>0</v>
      </c>
      <c r="I309" s="39">
        <f>-J309+H309</f>
        <v>-4304.97</v>
      </c>
      <c r="J309" s="26">
        <v>4304.97</v>
      </c>
    </row>
    <row r="310" spans="1:12">
      <c r="A310" s="139"/>
      <c r="B310" s="139"/>
      <c r="C310" s="140"/>
      <c r="D310" s="142"/>
      <c r="E310" s="141"/>
      <c r="F310" s="96"/>
      <c r="G310" s="64"/>
      <c r="H310" s="142"/>
      <c r="I310" s="141"/>
      <c r="J310" s="96"/>
    </row>
    <row r="311" spans="1:12">
      <c r="A311" s="4"/>
      <c r="B311" s="4"/>
      <c r="C311" s="6" t="s">
        <v>330</v>
      </c>
      <c r="D311" s="60">
        <f>SUM(D306,D301,D212,D175,D162,D117,D110,D37,D7)</f>
        <v>2150491</v>
      </c>
      <c r="E311" s="61">
        <f>SUM(E306,E301,E212,E175,E162,E117,E110,E37,E7)</f>
        <v>0</v>
      </c>
      <c r="F311" s="62">
        <f>SUM(F306,F301,F212,F175,F162,F117,F110,F37,F7)</f>
        <v>2150491</v>
      </c>
      <c r="H311" s="60">
        <f>SUM(H306,H301,H212,H175,H162,H117,H110,H37,H7)</f>
        <v>2103181.14</v>
      </c>
      <c r="I311" s="61">
        <f>SUM(I306,I301,I212,I175,I162,I117,I110,I37,I7)</f>
        <v>0</v>
      </c>
      <c r="J311" s="62">
        <f>SUM(J306,J301,J212,J175,J162,J117,J110,J37,J7)</f>
        <v>2103181.14</v>
      </c>
    </row>
    <row r="314" spans="1:12">
      <c r="D314" s="63"/>
      <c r="L314" s="63"/>
    </row>
    <row r="322" spans="16:16">
      <c r="P322" s="63"/>
    </row>
  </sheetData>
  <mergeCells count="2">
    <mergeCell ref="D4:F4"/>
    <mergeCell ref="H4:J4"/>
  </mergeCells>
  <pageMargins left="0.7" right="0.7" top="0.78740157499999996" bottom="0.78740157499999996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6"/>
  <sheetViews>
    <sheetView workbookViewId="0">
      <pane ySplit="7" topLeftCell="A8" activePane="bottomLeft" state="frozen"/>
      <selection pane="bottomLeft" activeCell="I38" sqref="I38"/>
    </sheetView>
  </sheetViews>
  <sheetFormatPr baseColWidth="10" defaultColWidth="10.85546875" defaultRowHeight="15"/>
  <cols>
    <col min="1" max="2" width="13.5703125" customWidth="1"/>
    <col min="3" max="3" width="35.5703125" bestFit="1" customWidth="1"/>
    <col min="4" max="4" width="15.42578125" bestFit="1" customWidth="1"/>
    <col min="5" max="5" width="13.85546875" bestFit="1" customWidth="1"/>
    <col min="6" max="6" width="15.42578125" bestFit="1" customWidth="1"/>
    <col min="7" max="7" width="4.5703125" customWidth="1"/>
    <col min="8" max="8" width="15.140625" bestFit="1" customWidth="1"/>
    <col min="9" max="9" width="13.85546875" bestFit="1" customWidth="1"/>
    <col min="10" max="10" width="14.140625" bestFit="1" customWidth="1"/>
    <col min="11" max="11" width="6.5703125" customWidth="1"/>
  </cols>
  <sheetData>
    <row r="1" spans="1:7" ht="23.25">
      <c r="A1" s="68" t="s">
        <v>337</v>
      </c>
      <c r="B1" s="68"/>
    </row>
    <row r="2" spans="1:7">
      <c r="A2" s="69" t="s">
        <v>941</v>
      </c>
      <c r="B2" s="69"/>
    </row>
    <row r="3" spans="1:7">
      <c r="A3" s="5"/>
      <c r="B3" s="5"/>
      <c r="C3" s="2"/>
      <c r="D3" s="3" t="s">
        <v>919</v>
      </c>
      <c r="E3" s="6" t="s">
        <v>1</v>
      </c>
      <c r="F3" s="6" t="s">
        <v>918</v>
      </c>
    </row>
    <row r="4" spans="1:7">
      <c r="A4" s="5"/>
      <c r="B4" s="5"/>
      <c r="C4" s="2"/>
      <c r="D4" s="95">
        <v>34500</v>
      </c>
      <c r="E4" s="87">
        <v>32000</v>
      </c>
      <c r="F4" s="87">
        <v>34500</v>
      </c>
    </row>
    <row r="5" spans="1:7" ht="21">
      <c r="A5" s="8"/>
      <c r="B5" s="8"/>
      <c r="C5" s="8"/>
      <c r="D5" s="176" t="s">
        <v>940</v>
      </c>
      <c r="E5" s="176"/>
      <c r="F5" s="176"/>
      <c r="G5" s="92"/>
    </row>
    <row r="6" spans="1:7" ht="21">
      <c r="A6" s="9" t="s">
        <v>452</v>
      </c>
      <c r="B6" s="10" t="s">
        <v>453</v>
      </c>
      <c r="C6" s="10" t="s">
        <v>3</v>
      </c>
      <c r="D6" s="11" t="s">
        <v>4</v>
      </c>
      <c r="E6" s="12" t="s">
        <v>5</v>
      </c>
      <c r="F6" s="11" t="s">
        <v>6</v>
      </c>
      <c r="G6" s="92"/>
    </row>
    <row r="7" spans="1:7">
      <c r="G7" s="83"/>
    </row>
    <row r="8" spans="1:7" ht="21">
      <c r="A8" s="32" t="s">
        <v>338</v>
      </c>
      <c r="B8" s="111"/>
      <c r="C8" s="33" t="s">
        <v>339</v>
      </c>
      <c r="D8" s="34">
        <f>D9+D11+D21+D41</f>
        <v>10034130</v>
      </c>
      <c r="E8" s="42">
        <f>E9+E11+E21+E41</f>
        <v>0</v>
      </c>
      <c r="F8" s="34">
        <f>F9+F11+F21+F41</f>
        <v>10034130</v>
      </c>
      <c r="G8" s="85"/>
    </row>
    <row r="9" spans="1:7">
      <c r="A9" s="15" t="s">
        <v>340</v>
      </c>
      <c r="B9" s="104"/>
      <c r="C9" s="16" t="s">
        <v>341</v>
      </c>
      <c r="D9" s="17">
        <f>SUM(D10)</f>
        <v>0</v>
      </c>
      <c r="E9" s="17">
        <f>SUM(E10)</f>
        <v>0</v>
      </c>
      <c r="F9" s="17">
        <f>SUM(F10)</f>
        <v>0</v>
      </c>
      <c r="G9" s="85"/>
    </row>
    <row r="10" spans="1:7">
      <c r="A10" s="19" t="s">
        <v>342</v>
      </c>
      <c r="B10" s="105" t="s">
        <v>589</v>
      </c>
      <c r="C10" s="20" t="s">
        <v>11</v>
      </c>
      <c r="D10" s="26">
        <v>0</v>
      </c>
      <c r="E10" s="70">
        <f>-F10+D10</f>
        <v>0</v>
      </c>
      <c r="F10" s="22">
        <v>0</v>
      </c>
      <c r="G10" s="85"/>
    </row>
    <row r="11" spans="1:7">
      <c r="A11" s="27" t="s">
        <v>343</v>
      </c>
      <c r="B11" s="108"/>
      <c r="C11" s="16" t="s">
        <v>52</v>
      </c>
      <c r="D11" s="17">
        <f>SUM(D12:D20)</f>
        <v>3216210</v>
      </c>
      <c r="E11" s="17">
        <f>SUM(E12:E20)</f>
        <v>0</v>
      </c>
      <c r="F11" s="17">
        <f>SUM(F12:F20)</f>
        <v>3216210</v>
      </c>
      <c r="G11" s="85"/>
    </row>
    <row r="12" spans="1:7">
      <c r="A12" s="25" t="s">
        <v>344</v>
      </c>
      <c r="B12" s="107" t="s">
        <v>571</v>
      </c>
      <c r="C12" s="20" t="s">
        <v>877</v>
      </c>
      <c r="D12" s="26">
        <f>D4*151.98-833480*3</f>
        <v>2742870</v>
      </c>
      <c r="E12" s="70">
        <f t="shared" ref="E12:E20" si="0">-F12+D12</f>
        <v>2742870</v>
      </c>
      <c r="F12" s="22">
        <v>0</v>
      </c>
      <c r="G12" s="85"/>
    </row>
    <row r="13" spans="1:7">
      <c r="A13" s="25"/>
      <c r="B13" s="107" t="s">
        <v>884</v>
      </c>
      <c r="C13" s="20" t="s">
        <v>878</v>
      </c>
      <c r="D13" s="26">
        <v>0</v>
      </c>
      <c r="E13" s="99">
        <f>-F13+D13</f>
        <v>0</v>
      </c>
      <c r="F13" s="22">
        <v>0</v>
      </c>
      <c r="G13" s="85"/>
    </row>
    <row r="14" spans="1:7">
      <c r="A14" s="25" t="s">
        <v>346</v>
      </c>
      <c r="B14" s="107" t="s">
        <v>572</v>
      </c>
      <c r="C14" s="20" t="s">
        <v>880</v>
      </c>
      <c r="D14" s="26">
        <f>D4*57.4-1506960</f>
        <v>473340</v>
      </c>
      <c r="E14" s="70">
        <f t="shared" si="0"/>
        <v>473340</v>
      </c>
      <c r="F14" s="22">
        <v>0</v>
      </c>
      <c r="G14" s="85"/>
    </row>
    <row r="15" spans="1:7">
      <c r="A15" s="25"/>
      <c r="B15" s="107" t="s">
        <v>885</v>
      </c>
      <c r="C15" s="20" t="s">
        <v>879</v>
      </c>
      <c r="D15" s="26">
        <v>0</v>
      </c>
      <c r="E15" s="70">
        <f>-F15+D15</f>
        <v>0</v>
      </c>
      <c r="F15" s="22">
        <v>0</v>
      </c>
      <c r="G15" s="85"/>
    </row>
    <row r="16" spans="1:7">
      <c r="A16" s="25" t="s">
        <v>348</v>
      </c>
      <c r="B16" s="107" t="s">
        <v>513</v>
      </c>
      <c r="C16" s="37" t="s">
        <v>436</v>
      </c>
      <c r="D16" s="96">
        <v>0</v>
      </c>
      <c r="E16" s="99">
        <f>-F16+D16</f>
        <v>0</v>
      </c>
      <c r="F16" s="96">
        <v>0</v>
      </c>
      <c r="G16" s="85"/>
    </row>
    <row r="17" spans="1:7">
      <c r="A17" s="25"/>
      <c r="B17" s="107" t="s">
        <v>514</v>
      </c>
      <c r="C17" s="37" t="s">
        <v>437</v>
      </c>
      <c r="D17" s="96">
        <v>0</v>
      </c>
      <c r="E17" s="99">
        <f>-F17+D17</f>
        <v>-2742870</v>
      </c>
      <c r="F17" s="26">
        <f>D10*(151.98/209.38)+D12+D16-F20*(151.98/209.38)</f>
        <v>2742870</v>
      </c>
      <c r="G17" s="85"/>
    </row>
    <row r="18" spans="1:7">
      <c r="A18" s="25" t="s">
        <v>350</v>
      </c>
      <c r="B18" s="107" t="s">
        <v>886</v>
      </c>
      <c r="C18" s="37" t="s">
        <v>438</v>
      </c>
      <c r="D18" s="96">
        <v>0</v>
      </c>
      <c r="E18" s="99">
        <f t="shared" si="0"/>
        <v>0</v>
      </c>
      <c r="F18" s="96">
        <v>0</v>
      </c>
      <c r="G18" s="85"/>
    </row>
    <row r="19" spans="1:7">
      <c r="A19" s="25"/>
      <c r="B19" s="107" t="s">
        <v>573</v>
      </c>
      <c r="C19" s="37" t="s">
        <v>439</v>
      </c>
      <c r="D19" s="96">
        <v>0</v>
      </c>
      <c r="E19" s="99">
        <f>-F19+D19</f>
        <v>-473340</v>
      </c>
      <c r="F19" s="26">
        <f>D10*(57.4/209.38)+D14+D18-F20*(57.4/209.38)</f>
        <v>473340</v>
      </c>
      <c r="G19" s="85"/>
    </row>
    <row r="20" spans="1:7">
      <c r="A20" s="25" t="s">
        <v>352</v>
      </c>
      <c r="B20" s="107" t="s">
        <v>887</v>
      </c>
      <c r="C20" s="37" t="s">
        <v>353</v>
      </c>
      <c r="D20" s="38">
        <v>0</v>
      </c>
      <c r="E20" s="70">
        <f t="shared" si="0"/>
        <v>0</v>
      </c>
      <c r="F20" s="26">
        <v>0</v>
      </c>
      <c r="G20" s="85"/>
    </row>
    <row r="21" spans="1:7">
      <c r="A21" s="27" t="s">
        <v>354</v>
      </c>
      <c r="B21" s="108"/>
      <c r="C21" s="24" t="s">
        <v>54</v>
      </c>
      <c r="D21" s="17">
        <f>SUM(D22:D30)</f>
        <v>6817920</v>
      </c>
      <c r="E21" s="17">
        <f>SUM(E22:E30)</f>
        <v>0</v>
      </c>
      <c r="F21" s="17">
        <f>SUM(F22:F30)</f>
        <v>6817920</v>
      </c>
      <c r="G21" s="85"/>
    </row>
    <row r="22" spans="1:7">
      <c r="A22" s="25" t="s">
        <v>355</v>
      </c>
      <c r="B22" s="107" t="s">
        <v>515</v>
      </c>
      <c r="C22" s="37" t="s">
        <v>436</v>
      </c>
      <c r="D22" s="96">
        <f>E4*154.56</f>
        <v>4945920</v>
      </c>
      <c r="E22" s="99">
        <f t="shared" ref="E22:E30" si="1">-F22+D22</f>
        <v>4945920</v>
      </c>
      <c r="F22" s="96">
        <v>0</v>
      </c>
      <c r="G22" s="85"/>
    </row>
    <row r="23" spans="1:7">
      <c r="A23" s="25"/>
      <c r="B23" s="107" t="s">
        <v>516</v>
      </c>
      <c r="C23" s="37" t="s">
        <v>437</v>
      </c>
      <c r="D23" s="96">
        <v>0</v>
      </c>
      <c r="E23" s="99">
        <f t="shared" si="1"/>
        <v>-4945920</v>
      </c>
      <c r="F23" s="96">
        <f>D22-F30*(154.56/213.96)</f>
        <v>4945920</v>
      </c>
      <c r="G23" s="85"/>
    </row>
    <row r="24" spans="1:7">
      <c r="A24" s="159" t="s">
        <v>356</v>
      </c>
      <c r="B24" s="160" t="s">
        <v>576</v>
      </c>
      <c r="C24" s="170" t="s">
        <v>438</v>
      </c>
      <c r="D24" s="162">
        <f>E4*58.5</f>
        <v>1872000</v>
      </c>
      <c r="E24" s="172">
        <f t="shared" si="1"/>
        <v>1872000</v>
      </c>
      <c r="F24" s="162">
        <v>0</v>
      </c>
      <c r="G24" s="85"/>
    </row>
    <row r="25" spans="1:7">
      <c r="A25" s="159"/>
      <c r="B25" s="160" t="s">
        <v>577</v>
      </c>
      <c r="C25" s="170" t="s">
        <v>439</v>
      </c>
      <c r="D25" s="162">
        <v>0</v>
      </c>
      <c r="E25" s="172">
        <f t="shared" si="1"/>
        <v>-1872000</v>
      </c>
      <c r="F25" s="162">
        <f>D24-F30*(58.5/213.96)</f>
        <v>1872000</v>
      </c>
      <c r="G25" s="85"/>
    </row>
    <row r="26" spans="1:7">
      <c r="A26" s="25" t="s">
        <v>357</v>
      </c>
      <c r="B26" s="107" t="s">
        <v>574</v>
      </c>
      <c r="C26" s="37" t="s">
        <v>877</v>
      </c>
      <c r="D26" s="96">
        <v>0</v>
      </c>
      <c r="E26" s="99">
        <f>-F26+D26</f>
        <v>0</v>
      </c>
      <c r="F26" s="96">
        <v>0</v>
      </c>
      <c r="G26" s="85"/>
    </row>
    <row r="27" spans="1:7">
      <c r="A27" s="25"/>
      <c r="B27" s="107" t="s">
        <v>889</v>
      </c>
      <c r="C27" s="37" t="s">
        <v>878</v>
      </c>
      <c r="D27" s="96">
        <v>0</v>
      </c>
      <c r="E27" s="99">
        <f>-F27+D27</f>
        <v>0</v>
      </c>
      <c r="F27" s="96">
        <v>0</v>
      </c>
      <c r="G27" s="85"/>
    </row>
    <row r="28" spans="1:7">
      <c r="A28" s="25" t="s">
        <v>358</v>
      </c>
      <c r="B28" s="107" t="s">
        <v>575</v>
      </c>
      <c r="C28" s="37" t="s">
        <v>880</v>
      </c>
      <c r="D28" s="96">
        <v>0</v>
      </c>
      <c r="E28" s="99">
        <f>-F28+D28</f>
        <v>0</v>
      </c>
      <c r="F28" s="96">
        <v>0</v>
      </c>
      <c r="G28" s="85"/>
    </row>
    <row r="29" spans="1:7">
      <c r="A29" s="25"/>
      <c r="B29" s="107" t="s">
        <v>890</v>
      </c>
      <c r="C29" s="37" t="s">
        <v>879</v>
      </c>
      <c r="D29" s="96">
        <v>0</v>
      </c>
      <c r="E29" s="99">
        <f>-F29+D29</f>
        <v>0</v>
      </c>
      <c r="F29" s="96">
        <v>0</v>
      </c>
      <c r="G29" s="85"/>
    </row>
    <row r="30" spans="1:7">
      <c r="A30" s="25" t="s">
        <v>359</v>
      </c>
      <c r="B30" s="107" t="s">
        <v>578</v>
      </c>
      <c r="C30" s="20" t="s">
        <v>353</v>
      </c>
      <c r="D30" s="22">
        <v>0</v>
      </c>
      <c r="E30" s="70">
        <f t="shared" si="1"/>
        <v>0</v>
      </c>
      <c r="F30" s="26">
        <v>0</v>
      </c>
      <c r="G30" s="85"/>
    </row>
    <row r="31" spans="1:7">
      <c r="A31" s="101" t="s">
        <v>360</v>
      </c>
      <c r="B31" s="118"/>
      <c r="C31" s="100" t="s">
        <v>916</v>
      </c>
      <c r="D31" s="102">
        <f>SUM(D32:D40)</f>
        <v>7350570</v>
      </c>
      <c r="E31" s="103">
        <f>SUM(E32:E40)</f>
        <v>0</v>
      </c>
      <c r="F31" s="102">
        <f>SUM(F32:F40)</f>
        <v>7350570</v>
      </c>
      <c r="G31" s="85"/>
    </row>
    <row r="32" spans="1:7">
      <c r="A32" s="25" t="s">
        <v>361</v>
      </c>
      <c r="B32" s="107" t="s">
        <v>579</v>
      </c>
      <c r="C32" s="20" t="s">
        <v>877</v>
      </c>
      <c r="D32" s="22">
        <v>0</v>
      </c>
      <c r="E32" s="70">
        <f t="shared" ref="E32:E40" si="2">-F32+D32</f>
        <v>0</v>
      </c>
      <c r="F32" s="26">
        <v>0</v>
      </c>
      <c r="G32" s="85"/>
    </row>
    <row r="33" spans="1:7">
      <c r="A33" s="25"/>
      <c r="B33" s="107" t="s">
        <v>882</v>
      </c>
      <c r="C33" s="20" t="s">
        <v>878</v>
      </c>
      <c r="D33" s="22">
        <v>0</v>
      </c>
      <c r="E33" s="70">
        <f t="shared" si="2"/>
        <v>0</v>
      </c>
      <c r="F33" s="26">
        <v>0</v>
      </c>
      <c r="G33" s="85"/>
    </row>
    <row r="34" spans="1:7">
      <c r="A34" s="25" t="s">
        <v>363</v>
      </c>
      <c r="B34" s="107" t="s">
        <v>580</v>
      </c>
      <c r="C34" s="20" t="s">
        <v>880</v>
      </c>
      <c r="D34" s="22">
        <v>0</v>
      </c>
      <c r="E34" s="70">
        <f t="shared" si="2"/>
        <v>0</v>
      </c>
      <c r="F34" s="26">
        <v>0</v>
      </c>
      <c r="G34" s="85"/>
    </row>
    <row r="35" spans="1:7">
      <c r="A35" s="25"/>
      <c r="B35" s="107" t="s">
        <v>883</v>
      </c>
      <c r="C35" s="20" t="s">
        <v>879</v>
      </c>
      <c r="D35" s="22">
        <v>0</v>
      </c>
      <c r="E35" s="70">
        <f t="shared" si="2"/>
        <v>0</v>
      </c>
      <c r="F35" s="26">
        <v>0</v>
      </c>
      <c r="G35" s="85"/>
    </row>
    <row r="36" spans="1:7">
      <c r="A36" s="25" t="s">
        <v>449</v>
      </c>
      <c r="B36" s="107" t="s">
        <v>517</v>
      </c>
      <c r="C36" s="37" t="s">
        <v>436</v>
      </c>
      <c r="D36" s="22">
        <f>F4*154.56</f>
        <v>5332320</v>
      </c>
      <c r="E36" s="70">
        <f t="shared" si="2"/>
        <v>5332320</v>
      </c>
      <c r="F36" s="26">
        <v>0</v>
      </c>
      <c r="G36" s="85"/>
    </row>
    <row r="37" spans="1:7">
      <c r="A37" s="25"/>
      <c r="B37" s="107" t="s">
        <v>518</v>
      </c>
      <c r="C37" s="37" t="s">
        <v>437</v>
      </c>
      <c r="D37" s="22">
        <v>0</v>
      </c>
      <c r="E37" s="70">
        <f t="shared" si="2"/>
        <v>-5332320</v>
      </c>
      <c r="F37" s="26">
        <f>D36-F40*(154.56/213.96)</f>
        <v>5332320</v>
      </c>
      <c r="G37" s="85"/>
    </row>
    <row r="38" spans="1:7">
      <c r="A38" s="159" t="s">
        <v>450</v>
      </c>
      <c r="B38" s="160" t="s">
        <v>886</v>
      </c>
      <c r="C38" s="170" t="s">
        <v>438</v>
      </c>
      <c r="D38" s="162">
        <f>F4*58.5</f>
        <v>2018250</v>
      </c>
      <c r="E38" s="172">
        <f t="shared" si="2"/>
        <v>2018250</v>
      </c>
      <c r="F38" s="162">
        <v>0</v>
      </c>
      <c r="G38" s="85"/>
    </row>
    <row r="39" spans="1:7">
      <c r="A39" s="159"/>
      <c r="B39" s="160" t="s">
        <v>573</v>
      </c>
      <c r="C39" s="170" t="s">
        <v>439</v>
      </c>
      <c r="D39" s="162">
        <v>0</v>
      </c>
      <c r="E39" s="172">
        <f t="shared" si="2"/>
        <v>-2018250</v>
      </c>
      <c r="F39" s="162">
        <f>(D38-F40*(58.5/213.96))</f>
        <v>2018250</v>
      </c>
      <c r="G39" s="85"/>
    </row>
    <row r="40" spans="1:7">
      <c r="A40" s="25" t="s">
        <v>451</v>
      </c>
      <c r="B40" s="107" t="s">
        <v>888</v>
      </c>
      <c r="C40" s="37" t="s">
        <v>881</v>
      </c>
      <c r="D40" s="22">
        <v>0</v>
      </c>
      <c r="E40" s="70">
        <f t="shared" si="2"/>
        <v>0</v>
      </c>
      <c r="F40" s="26">
        <v>0</v>
      </c>
      <c r="G40" s="85"/>
    </row>
    <row r="41" spans="1:7">
      <c r="A41" s="27" t="s">
        <v>446</v>
      </c>
      <c r="B41" s="108"/>
      <c r="C41" s="24" t="s">
        <v>56</v>
      </c>
      <c r="D41" s="17">
        <f>SUM(D42:D43)</f>
        <v>0</v>
      </c>
      <c r="E41" s="17">
        <f>SUM(E42:E43)</f>
        <v>0</v>
      </c>
      <c r="F41" s="17">
        <f>SUM(F42:F43)</f>
        <v>0</v>
      </c>
      <c r="G41" s="85"/>
    </row>
    <row r="42" spans="1:7">
      <c r="A42" s="25" t="s">
        <v>447</v>
      </c>
      <c r="B42" s="107" t="s">
        <v>581</v>
      </c>
      <c r="C42" s="20" t="s">
        <v>362</v>
      </c>
      <c r="D42" s="22">
        <v>0</v>
      </c>
      <c r="E42" s="70">
        <f>-F42+D42</f>
        <v>0</v>
      </c>
      <c r="F42" s="22">
        <v>0</v>
      </c>
      <c r="G42" s="85"/>
    </row>
    <row r="43" spans="1:7">
      <c r="A43" s="25" t="s">
        <v>448</v>
      </c>
      <c r="B43" s="107" t="s">
        <v>582</v>
      </c>
      <c r="C43" s="20" t="s">
        <v>364</v>
      </c>
      <c r="D43" s="22">
        <v>0</v>
      </c>
      <c r="E43" s="70">
        <f>-F43+D43</f>
        <v>0</v>
      </c>
      <c r="F43" s="22">
        <v>0</v>
      </c>
      <c r="G43" s="85"/>
    </row>
    <row r="44" spans="1:7">
      <c r="G44" s="83"/>
    </row>
    <row r="45" spans="1:7">
      <c r="A45" s="4"/>
      <c r="B45" s="4"/>
      <c r="C45" s="6" t="s">
        <v>330</v>
      </c>
      <c r="D45" s="60">
        <f>SUM(D9,D11,D21,D41)</f>
        <v>10034130</v>
      </c>
      <c r="E45" s="60">
        <f>SUM(E9,E11,E21,E31,E41)</f>
        <v>0</v>
      </c>
      <c r="F45" s="60">
        <f>SUM(F9,F11,F21,F41)</f>
        <v>10034130</v>
      </c>
      <c r="G45" s="92"/>
    </row>
    <row r="46" spans="1:7">
      <c r="G46" s="64"/>
    </row>
    <row r="47" spans="1:7">
      <c r="G47" s="64"/>
    </row>
    <row r="48" spans="1:7">
      <c r="G48" s="64"/>
    </row>
    <row r="49" spans="7:7">
      <c r="G49" s="64"/>
    </row>
    <row r="50" spans="7:7">
      <c r="G50" s="64"/>
    </row>
    <row r="51" spans="7:7">
      <c r="G51" s="64"/>
    </row>
    <row r="52" spans="7:7">
      <c r="G52" s="64"/>
    </row>
    <row r="53" spans="7:7">
      <c r="G53" s="64"/>
    </row>
    <row r="54" spans="7:7">
      <c r="G54" s="64"/>
    </row>
    <row r="55" spans="7:7">
      <c r="G55" s="64"/>
    </row>
    <row r="56" spans="7:7">
      <c r="G56" s="64"/>
    </row>
    <row r="57" spans="7:7">
      <c r="G57" s="64"/>
    </row>
    <row r="58" spans="7:7">
      <c r="G58" s="64"/>
    </row>
    <row r="59" spans="7:7">
      <c r="G59" s="64"/>
    </row>
    <row r="60" spans="7:7">
      <c r="G60" s="64"/>
    </row>
    <row r="61" spans="7:7">
      <c r="G61" s="64"/>
    </row>
    <row r="62" spans="7:7">
      <c r="G62" s="64"/>
    </row>
    <row r="63" spans="7:7">
      <c r="G63" s="64"/>
    </row>
    <row r="64" spans="7:7">
      <c r="G64" s="64"/>
    </row>
    <row r="65" spans="7:7">
      <c r="G65" s="64"/>
    </row>
    <row r="66" spans="7:7">
      <c r="G66" s="64"/>
    </row>
    <row r="67" spans="7:7">
      <c r="G67" s="64"/>
    </row>
    <row r="68" spans="7:7">
      <c r="G68" s="64"/>
    </row>
    <row r="69" spans="7:7">
      <c r="G69" s="64"/>
    </row>
    <row r="70" spans="7:7">
      <c r="G70" s="64"/>
    </row>
    <row r="71" spans="7:7">
      <c r="G71" s="64"/>
    </row>
    <row r="72" spans="7:7">
      <c r="G72" s="64"/>
    </row>
    <row r="73" spans="7:7">
      <c r="G73" s="64"/>
    </row>
    <row r="74" spans="7:7">
      <c r="G74" s="64"/>
    </row>
    <row r="75" spans="7:7">
      <c r="G75" s="64"/>
    </row>
    <row r="76" spans="7:7">
      <c r="G76" s="64"/>
    </row>
    <row r="77" spans="7:7">
      <c r="G77" s="64"/>
    </row>
    <row r="78" spans="7:7">
      <c r="G78" s="64"/>
    </row>
    <row r="79" spans="7:7">
      <c r="G79" s="64"/>
    </row>
    <row r="80" spans="7:7">
      <c r="G80" s="64"/>
    </row>
    <row r="81" spans="7:7">
      <c r="G81" s="64"/>
    </row>
    <row r="82" spans="7:7">
      <c r="G82" s="64"/>
    </row>
    <row r="83" spans="7:7">
      <c r="G83" s="64"/>
    </row>
    <row r="84" spans="7:7">
      <c r="G84" s="64"/>
    </row>
    <row r="85" spans="7:7">
      <c r="G85" s="64"/>
    </row>
    <row r="86" spans="7:7">
      <c r="G86" s="64"/>
    </row>
    <row r="87" spans="7:7">
      <c r="G87" s="64"/>
    </row>
    <row r="88" spans="7:7">
      <c r="G88" s="64"/>
    </row>
    <row r="89" spans="7:7">
      <c r="G89" s="64"/>
    </row>
    <row r="90" spans="7:7">
      <c r="G90" s="64"/>
    </row>
    <row r="91" spans="7:7">
      <c r="G91" s="64"/>
    </row>
    <row r="92" spans="7:7">
      <c r="G92" s="64"/>
    </row>
    <row r="93" spans="7:7">
      <c r="G93" s="64"/>
    </row>
    <row r="94" spans="7:7">
      <c r="G94" s="64"/>
    </row>
    <row r="95" spans="7:7">
      <c r="G95" s="64"/>
    </row>
    <row r="96" spans="7:7">
      <c r="G96" s="64"/>
    </row>
    <row r="97" spans="7:7">
      <c r="G97" s="64"/>
    </row>
    <row r="98" spans="7:7">
      <c r="G98" s="64"/>
    </row>
    <row r="99" spans="7:7">
      <c r="G99" s="64"/>
    </row>
    <row r="100" spans="7:7">
      <c r="G100" s="64"/>
    </row>
    <row r="101" spans="7:7">
      <c r="G101" s="64"/>
    </row>
    <row r="102" spans="7:7">
      <c r="G102" s="64"/>
    </row>
    <row r="103" spans="7:7">
      <c r="G103" s="64"/>
    </row>
    <row r="104" spans="7:7">
      <c r="G104" s="64"/>
    </row>
    <row r="105" spans="7:7">
      <c r="G105" s="64"/>
    </row>
    <row r="106" spans="7:7">
      <c r="G106" s="64"/>
    </row>
    <row r="107" spans="7:7">
      <c r="G107" s="64"/>
    </row>
    <row r="108" spans="7:7">
      <c r="G108" s="64"/>
    </row>
    <row r="109" spans="7:7">
      <c r="G109" s="64"/>
    </row>
    <row r="110" spans="7:7">
      <c r="G110" s="64"/>
    </row>
    <row r="111" spans="7:7">
      <c r="G111" s="64"/>
    </row>
    <row r="112" spans="7:7">
      <c r="G112" s="64"/>
    </row>
    <row r="113" spans="7:7">
      <c r="G113" s="64"/>
    </row>
    <row r="114" spans="7:7">
      <c r="G114" s="64"/>
    </row>
    <row r="115" spans="7:7">
      <c r="G115" s="64"/>
    </row>
    <row r="116" spans="7:7">
      <c r="G116" s="64"/>
    </row>
    <row r="117" spans="7:7">
      <c r="G117" s="64"/>
    </row>
    <row r="118" spans="7:7">
      <c r="G118" s="64"/>
    </row>
    <row r="119" spans="7:7">
      <c r="G119" s="64"/>
    </row>
    <row r="120" spans="7:7">
      <c r="G120" s="64"/>
    </row>
    <row r="121" spans="7:7">
      <c r="G121" s="64"/>
    </row>
    <row r="122" spans="7:7">
      <c r="G122" s="64"/>
    </row>
    <row r="123" spans="7:7">
      <c r="G123" s="64"/>
    </row>
    <row r="124" spans="7:7">
      <c r="G124" s="64"/>
    </row>
    <row r="125" spans="7:7">
      <c r="G125" s="64"/>
    </row>
    <row r="126" spans="7:7">
      <c r="G126" s="64"/>
    </row>
    <row r="127" spans="7:7">
      <c r="G127" s="64"/>
    </row>
    <row r="128" spans="7:7">
      <c r="G128" s="64"/>
    </row>
    <row r="129" spans="7:7">
      <c r="G129" s="64"/>
    </row>
    <row r="130" spans="7:7">
      <c r="G130" s="64"/>
    </row>
    <row r="131" spans="7:7">
      <c r="G131" s="64"/>
    </row>
    <row r="132" spans="7:7">
      <c r="G132" s="64"/>
    </row>
    <row r="133" spans="7:7">
      <c r="G133" s="64"/>
    </row>
    <row r="134" spans="7:7">
      <c r="G134" s="64"/>
    </row>
    <row r="135" spans="7:7">
      <c r="G135" s="64"/>
    </row>
    <row r="136" spans="7:7">
      <c r="G136" s="64"/>
    </row>
    <row r="137" spans="7:7">
      <c r="G137" s="64"/>
    </row>
    <row r="138" spans="7:7">
      <c r="G138" s="64"/>
    </row>
    <row r="139" spans="7:7">
      <c r="G139" s="64"/>
    </row>
    <row r="140" spans="7:7">
      <c r="G140" s="64"/>
    </row>
    <row r="141" spans="7:7">
      <c r="G141" s="64"/>
    </row>
    <row r="142" spans="7:7">
      <c r="G142" s="64"/>
    </row>
    <row r="143" spans="7:7">
      <c r="G143" s="64"/>
    </row>
    <row r="144" spans="7:7">
      <c r="G144" s="64"/>
    </row>
    <row r="145" spans="7:7">
      <c r="G145" s="64"/>
    </row>
    <row r="146" spans="7:7">
      <c r="G146" s="64"/>
    </row>
    <row r="147" spans="7:7">
      <c r="G147" s="64"/>
    </row>
    <row r="148" spans="7:7">
      <c r="G148" s="64"/>
    </row>
    <row r="149" spans="7:7">
      <c r="G149" s="64"/>
    </row>
    <row r="150" spans="7:7">
      <c r="G150" s="64"/>
    </row>
    <row r="151" spans="7:7">
      <c r="G151" s="64"/>
    </row>
    <row r="152" spans="7:7">
      <c r="G152" s="64"/>
    </row>
    <row r="153" spans="7:7">
      <c r="G153" s="64"/>
    </row>
    <row r="154" spans="7:7">
      <c r="G154" s="64"/>
    </row>
    <row r="155" spans="7:7">
      <c r="G155" s="64"/>
    </row>
    <row r="156" spans="7:7">
      <c r="G156" s="64"/>
    </row>
    <row r="157" spans="7:7">
      <c r="G157" s="64"/>
    </row>
    <row r="158" spans="7:7">
      <c r="G158" s="64"/>
    </row>
    <row r="159" spans="7:7">
      <c r="G159" s="64"/>
    </row>
    <row r="160" spans="7:7">
      <c r="G160" s="64"/>
    </row>
    <row r="161" spans="7:7">
      <c r="G161" s="64"/>
    </row>
    <row r="162" spans="7:7">
      <c r="G162" s="64"/>
    </row>
    <row r="163" spans="7:7">
      <c r="G163" s="64"/>
    </row>
    <row r="164" spans="7:7">
      <c r="G164" s="64"/>
    </row>
    <row r="165" spans="7:7">
      <c r="G165" s="64"/>
    </row>
    <row r="166" spans="7:7">
      <c r="G166" s="64"/>
    </row>
    <row r="167" spans="7:7">
      <c r="G167" s="64"/>
    </row>
    <row r="168" spans="7:7">
      <c r="G168" s="64"/>
    </row>
    <row r="169" spans="7:7">
      <c r="G169" s="64"/>
    </row>
    <row r="170" spans="7:7">
      <c r="G170" s="64"/>
    </row>
    <row r="171" spans="7:7">
      <c r="G171" s="64"/>
    </row>
    <row r="172" spans="7:7">
      <c r="G172" s="64"/>
    </row>
    <row r="173" spans="7:7">
      <c r="G173" s="64"/>
    </row>
    <row r="174" spans="7:7">
      <c r="G174" s="64"/>
    </row>
    <row r="175" spans="7:7">
      <c r="G175" s="64"/>
    </row>
    <row r="176" spans="7:7">
      <c r="G176" s="64"/>
    </row>
    <row r="177" spans="7:7">
      <c r="G177" s="64"/>
    </row>
    <row r="178" spans="7:7">
      <c r="G178" s="64"/>
    </row>
    <row r="179" spans="7:7">
      <c r="G179" s="64"/>
    </row>
    <row r="180" spans="7:7">
      <c r="G180" s="64"/>
    </row>
    <row r="181" spans="7:7">
      <c r="G181" s="64"/>
    </row>
    <row r="182" spans="7:7">
      <c r="G182" s="64"/>
    </row>
    <row r="183" spans="7:7">
      <c r="G183" s="64"/>
    </row>
    <row r="184" spans="7:7">
      <c r="G184" s="64"/>
    </row>
    <row r="185" spans="7:7">
      <c r="G185" s="64"/>
    </row>
    <row r="186" spans="7:7">
      <c r="G186" s="64"/>
    </row>
    <row r="187" spans="7:7">
      <c r="G187" s="64"/>
    </row>
    <row r="188" spans="7:7">
      <c r="G188" s="64"/>
    </row>
    <row r="189" spans="7:7">
      <c r="G189" s="64"/>
    </row>
    <row r="190" spans="7:7">
      <c r="G190" s="64"/>
    </row>
    <row r="191" spans="7:7">
      <c r="G191" s="64"/>
    </row>
    <row r="192" spans="7:7">
      <c r="G192" s="64"/>
    </row>
    <row r="193" spans="7:7">
      <c r="G193" s="64"/>
    </row>
    <row r="194" spans="7:7">
      <c r="G194" s="64"/>
    </row>
    <row r="195" spans="7:7">
      <c r="G195" s="64"/>
    </row>
    <row r="196" spans="7:7">
      <c r="G196" s="64"/>
    </row>
    <row r="197" spans="7:7">
      <c r="G197" s="64"/>
    </row>
    <row r="198" spans="7:7">
      <c r="G198" s="64"/>
    </row>
    <row r="199" spans="7:7">
      <c r="G199" s="64"/>
    </row>
    <row r="200" spans="7:7">
      <c r="G200" s="64"/>
    </row>
    <row r="201" spans="7:7">
      <c r="G201" s="64"/>
    </row>
    <row r="202" spans="7:7">
      <c r="G202" s="64"/>
    </row>
    <row r="203" spans="7:7">
      <c r="G203" s="64"/>
    </row>
    <row r="204" spans="7:7">
      <c r="G204" s="64"/>
    </row>
    <row r="205" spans="7:7">
      <c r="G205" s="64"/>
    </row>
    <row r="206" spans="7:7">
      <c r="G206" s="64"/>
    </row>
    <row r="207" spans="7:7">
      <c r="G207" s="64"/>
    </row>
    <row r="208" spans="7:7">
      <c r="G208" s="64"/>
    </row>
    <row r="209" spans="7:7">
      <c r="G209" s="64"/>
    </row>
    <row r="210" spans="7:7">
      <c r="G210" s="64"/>
    </row>
    <row r="211" spans="7:7">
      <c r="G211" s="64"/>
    </row>
    <row r="212" spans="7:7">
      <c r="G212" s="64"/>
    </row>
    <row r="213" spans="7:7">
      <c r="G213" s="64"/>
    </row>
    <row r="214" spans="7:7">
      <c r="G214" s="64"/>
    </row>
    <row r="215" spans="7:7">
      <c r="G215" s="64"/>
    </row>
    <row r="216" spans="7:7">
      <c r="G216" s="64"/>
    </row>
  </sheetData>
  <mergeCells count="1">
    <mergeCell ref="D5:F5"/>
  </mergeCells>
  <pageMargins left="0.7" right="0.7" top="0.78740157499999996" bottom="0.78740157499999996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D8" sqref="D8"/>
    </sheetView>
  </sheetViews>
  <sheetFormatPr baseColWidth="10" defaultColWidth="10.85546875" defaultRowHeight="15"/>
  <cols>
    <col min="1" max="1" width="53.42578125" bestFit="1" customWidth="1"/>
    <col min="2" max="2" width="13.140625" bestFit="1" customWidth="1"/>
    <col min="3" max="4" width="13.140625" style="76" bestFit="1" customWidth="1"/>
  </cols>
  <sheetData>
    <row r="1" spans="1:4">
      <c r="A1" t="s">
        <v>938</v>
      </c>
    </row>
    <row r="2" spans="1:4">
      <c r="B2" s="69" t="s">
        <v>607</v>
      </c>
      <c r="C2" s="77" t="s">
        <v>937</v>
      </c>
      <c r="D2" s="77" t="s">
        <v>942</v>
      </c>
    </row>
    <row r="3" spans="1:4">
      <c r="A3" s="72" t="s">
        <v>373</v>
      </c>
      <c r="B3" s="73">
        <f>99869.09+52848.07</f>
        <v>152717.16</v>
      </c>
      <c r="C3" s="73">
        <f>145969.54+28636.45</f>
        <v>174605.99000000002</v>
      </c>
      <c r="D3" s="73">
        <f>24604.9+641443.83</f>
        <v>666048.73</v>
      </c>
    </row>
    <row r="4" spans="1:4">
      <c r="A4" s="72" t="s">
        <v>374</v>
      </c>
      <c r="B4" s="73">
        <f>10629.45+141180.37</f>
        <v>151809.82</v>
      </c>
      <c r="C4" s="73">
        <f>5692.42+47875.39</f>
        <v>53567.81</v>
      </c>
      <c r="D4" s="73">
        <f>42991.63+167789.13</f>
        <v>210780.76</v>
      </c>
    </row>
    <row r="5" spans="1:4">
      <c r="A5" s="72" t="s">
        <v>375</v>
      </c>
      <c r="B5" s="73">
        <v>16699.78</v>
      </c>
      <c r="C5" s="73">
        <v>30302.11</v>
      </c>
      <c r="D5" s="73">
        <v>34406.620000000003</v>
      </c>
    </row>
    <row r="6" spans="1:4">
      <c r="A6" s="72" t="s">
        <v>376</v>
      </c>
      <c r="B6" s="73">
        <f>1379983.21+3987.05</f>
        <v>1383970.26</v>
      </c>
      <c r="C6" s="73">
        <f>1379983.77+35464.99</f>
        <v>1415448.76</v>
      </c>
      <c r="D6" s="73">
        <f>19999+2840045.22</f>
        <v>2860044.22</v>
      </c>
    </row>
    <row r="7" spans="1:4">
      <c r="A7" s="72" t="s">
        <v>425</v>
      </c>
      <c r="B7" s="73">
        <f>560000</f>
        <v>560000</v>
      </c>
      <c r="C7" s="73">
        <f>420000+125000+200000</f>
        <v>745000</v>
      </c>
      <c r="D7" s="73">
        <v>0</v>
      </c>
    </row>
    <row r="8" spans="1:4">
      <c r="A8" s="72" t="s">
        <v>426</v>
      </c>
      <c r="B8" s="73">
        <f>2238110</f>
        <v>2238110</v>
      </c>
      <c r="C8" s="73">
        <v>1870000</v>
      </c>
      <c r="D8" s="73">
        <v>0</v>
      </c>
    </row>
    <row r="9" spans="1:4">
      <c r="A9" s="72" t="s">
        <v>377</v>
      </c>
      <c r="B9" s="73">
        <v>0</v>
      </c>
      <c r="C9" s="73">
        <v>0</v>
      </c>
      <c r="D9" s="73">
        <v>0</v>
      </c>
    </row>
    <row r="10" spans="1:4">
      <c r="A10" s="72" t="s">
        <v>378</v>
      </c>
      <c r="B10" s="73">
        <v>6279.89</v>
      </c>
      <c r="C10" s="73">
        <v>6354.34</v>
      </c>
      <c r="D10" s="73">
        <v>10845.6</v>
      </c>
    </row>
    <row r="11" spans="1:4">
      <c r="A11" s="74" t="s">
        <v>380</v>
      </c>
      <c r="B11" s="75">
        <f>SUM(B3:B10)</f>
        <v>4509586.9099999992</v>
      </c>
      <c r="C11" s="75">
        <f>SUM(C3:C10)</f>
        <v>4295279.01</v>
      </c>
      <c r="D11" s="75">
        <f>SUM(D3:D10)</f>
        <v>3782125.93</v>
      </c>
    </row>
    <row r="12" spans="1:4">
      <c r="B12" s="76"/>
    </row>
    <row r="13" spans="1:4">
      <c r="A13" s="74" t="s">
        <v>56</v>
      </c>
      <c r="B13" s="76"/>
    </row>
    <row r="14" spans="1:4">
      <c r="A14" t="s">
        <v>339</v>
      </c>
      <c r="B14" s="76">
        <v>0</v>
      </c>
      <c r="C14" s="76">
        <v>0</v>
      </c>
      <c r="D14" s="76">
        <v>0</v>
      </c>
    </row>
    <row r="15" spans="1:4">
      <c r="A15" t="s">
        <v>381</v>
      </c>
      <c r="B15" s="76">
        <v>0</v>
      </c>
      <c r="C15" s="76">
        <v>0</v>
      </c>
      <c r="D15" s="76">
        <v>0</v>
      </c>
    </row>
    <row r="16" spans="1:4">
      <c r="A16" t="s">
        <v>382</v>
      </c>
      <c r="B16" s="76">
        <v>0</v>
      </c>
      <c r="C16" s="76">
        <v>0</v>
      </c>
      <c r="D16" s="76">
        <v>0</v>
      </c>
    </row>
    <row r="17" spans="1:4">
      <c r="A17" t="s">
        <v>383</v>
      </c>
      <c r="B17" s="76">
        <v>0</v>
      </c>
      <c r="C17" s="76">
        <v>0</v>
      </c>
      <c r="D17" s="76">
        <v>0</v>
      </c>
    </row>
    <row r="18" spans="1:4">
      <c r="A18" t="s">
        <v>427</v>
      </c>
      <c r="B18" s="76">
        <v>0</v>
      </c>
      <c r="C18" s="76">
        <v>0</v>
      </c>
      <c r="D18" s="76">
        <v>0</v>
      </c>
    </row>
    <row r="19" spans="1:4">
      <c r="A19" s="74" t="s">
        <v>380</v>
      </c>
      <c r="B19" s="75">
        <f>SUM(B14:B18)</f>
        <v>0</v>
      </c>
      <c r="C19" s="75">
        <v>0</v>
      </c>
      <c r="D19" s="75">
        <v>0</v>
      </c>
    </row>
    <row r="20" spans="1:4">
      <c r="B20" s="76"/>
    </row>
    <row r="21" spans="1:4">
      <c r="A21" s="69" t="s">
        <v>384</v>
      </c>
      <c r="B21" s="77">
        <f>B11-B19</f>
        <v>4509586.9099999992</v>
      </c>
      <c r="C21" s="77">
        <f>C11-C19</f>
        <v>4295279.01</v>
      </c>
      <c r="D21" s="77">
        <v>3747719.31</v>
      </c>
    </row>
    <row r="22" spans="1:4">
      <c r="B22" s="76"/>
    </row>
    <row r="23" spans="1:4">
      <c r="A23" t="s">
        <v>385</v>
      </c>
      <c r="B23" s="76">
        <v>197809.42</v>
      </c>
      <c r="C23" s="76">
        <v>249920.06000000003</v>
      </c>
      <c r="D23" s="76">
        <v>294093.86</v>
      </c>
    </row>
    <row r="24" spans="1:4">
      <c r="A24" t="s">
        <v>41</v>
      </c>
      <c r="B24" s="76">
        <v>46568.74</v>
      </c>
      <c r="C24" s="76">
        <v>33099.18</v>
      </c>
      <c r="D24" s="76">
        <v>60312.380000000005</v>
      </c>
    </row>
    <row r="25" spans="1:4">
      <c r="B25" s="76"/>
    </row>
    <row r="26" spans="1:4">
      <c r="A26" s="78" t="s">
        <v>9</v>
      </c>
      <c r="B26" s="79">
        <f>B21-SUM(B23:B24)</f>
        <v>4265208.7499999991</v>
      </c>
      <c r="C26" s="79">
        <f>C21-SUM(C23:C24)</f>
        <v>4012259.7699999996</v>
      </c>
      <c r="D26" s="79">
        <f>D21-SUM(D23:D24)</f>
        <v>3393313.0700000003</v>
      </c>
    </row>
    <row r="27" spans="1:4">
      <c r="B27" s="76"/>
    </row>
    <row r="28" spans="1:4">
      <c r="A28" t="s">
        <v>608</v>
      </c>
      <c r="B28" s="76">
        <v>0</v>
      </c>
      <c r="C28" s="76">
        <v>0</v>
      </c>
      <c r="D28" s="76">
        <v>0</v>
      </c>
    </row>
    <row r="29" spans="1:4" ht="30">
      <c r="A29" s="125" t="s">
        <v>609</v>
      </c>
      <c r="B29" s="76">
        <v>3606498.6</v>
      </c>
      <c r="C29" s="76">
        <f>34500*208.38-1556640-2573010</f>
        <v>3059460</v>
      </c>
      <c r="D29" s="76">
        <f>(34500*209.38)-(57.4*34500*0.8)-(873885*3)</f>
        <v>3017715</v>
      </c>
    </row>
    <row r="30" spans="1:4">
      <c r="A30" t="s">
        <v>388</v>
      </c>
      <c r="B30" s="76">
        <v>0</v>
      </c>
      <c r="C30" s="76">
        <v>0</v>
      </c>
      <c r="D30" s="76">
        <v>0</v>
      </c>
    </row>
    <row r="31" spans="1:4">
      <c r="A31" t="s">
        <v>389</v>
      </c>
      <c r="B31" s="76">
        <v>0</v>
      </c>
      <c r="C31" s="76">
        <v>0</v>
      </c>
      <c r="D31" s="76">
        <v>0</v>
      </c>
    </row>
    <row r="32" spans="1:4">
      <c r="A32" s="80" t="s">
        <v>390</v>
      </c>
      <c r="B32" s="79">
        <f>B26-(B28+B29)+SUM(B30:B31)</f>
        <v>658710.14999999898</v>
      </c>
      <c r="C32" s="79">
        <f>C26-(C28+C29)+SUM(C30:C31)</f>
        <v>952799.76999999955</v>
      </c>
      <c r="D32" s="79">
        <f>D26-(D28+D29)+SUM(D30:D31)</f>
        <v>375598.0700000003</v>
      </c>
    </row>
    <row r="33" spans="1:4">
      <c r="A33" t="s">
        <v>391</v>
      </c>
      <c r="B33" s="76"/>
    </row>
    <row r="34" spans="1:4">
      <c r="B34" s="76"/>
    </row>
    <row r="35" spans="1:4">
      <c r="A35" s="80" t="s">
        <v>392</v>
      </c>
      <c r="B35" s="81">
        <v>125000</v>
      </c>
      <c r="C35" s="81">
        <v>125000.95</v>
      </c>
      <c r="D35" s="81">
        <v>125000.93</v>
      </c>
    </row>
    <row r="36" spans="1:4">
      <c r="A36" s="80" t="s">
        <v>407</v>
      </c>
      <c r="B36" s="81">
        <v>151851.53</v>
      </c>
      <c r="C36" s="81">
        <v>151852.68</v>
      </c>
      <c r="D36" s="81">
        <v>151852.65</v>
      </c>
    </row>
    <row r="37" spans="1:4">
      <c r="A37" s="80" t="s">
        <v>393</v>
      </c>
      <c r="B37" s="81">
        <v>35383.760000000002</v>
      </c>
      <c r="C37" s="81">
        <v>30384.01</v>
      </c>
      <c r="D37" s="81">
        <v>30383.98</v>
      </c>
    </row>
    <row r="38" spans="1:4">
      <c r="A38" s="80" t="s">
        <v>394</v>
      </c>
      <c r="B38" s="81" t="s">
        <v>396</v>
      </c>
      <c r="C38" s="81" t="s">
        <v>396</v>
      </c>
      <c r="D38" s="81" t="s">
        <v>396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topLeftCell="A25" workbookViewId="0">
      <selection activeCell="L31" sqref="L31"/>
    </sheetView>
  </sheetViews>
  <sheetFormatPr baseColWidth="10" defaultColWidth="10.85546875" defaultRowHeight="15"/>
  <cols>
    <col min="1" max="1" width="41.42578125" customWidth="1"/>
    <col min="2" max="4" width="13.140625" hidden="1" customWidth="1"/>
    <col min="5" max="6" width="13.140625" bestFit="1" customWidth="1"/>
    <col min="7" max="8" width="13.5703125" bestFit="1" customWidth="1"/>
    <col min="9" max="13" width="14.5703125" bestFit="1" customWidth="1"/>
  </cols>
  <sheetData>
    <row r="1" spans="1:12">
      <c r="A1" t="s">
        <v>423</v>
      </c>
    </row>
    <row r="2" spans="1:12">
      <c r="B2" s="71" t="s">
        <v>365</v>
      </c>
      <c r="C2" s="71" t="s">
        <v>366</v>
      </c>
      <c r="D2" s="71" t="s">
        <v>367</v>
      </c>
      <c r="E2" s="71" t="s">
        <v>368</v>
      </c>
      <c r="F2" s="71" t="s">
        <v>369</v>
      </c>
      <c r="G2" s="71" t="s">
        <v>370</v>
      </c>
      <c r="H2" s="71" t="s">
        <v>371</v>
      </c>
      <c r="I2" s="71" t="s">
        <v>372</v>
      </c>
      <c r="J2" s="71" t="s">
        <v>406</v>
      </c>
      <c r="K2" s="71" t="s">
        <v>417</v>
      </c>
      <c r="L2" s="71" t="s">
        <v>424</v>
      </c>
    </row>
    <row r="3" spans="1:12">
      <c r="A3" s="72" t="s">
        <v>373</v>
      </c>
      <c r="B3" s="73">
        <v>68471.39</v>
      </c>
      <c r="C3" s="73">
        <v>86531.49</v>
      </c>
      <c r="D3" s="73">
        <v>132121.95000000001</v>
      </c>
      <c r="E3" s="73">
        <v>162391.85</v>
      </c>
      <c r="F3" s="73">
        <v>59552.69</v>
      </c>
      <c r="G3" s="73">
        <v>116887.9</v>
      </c>
      <c r="H3" s="73">
        <v>173058.29</v>
      </c>
      <c r="I3" s="73">
        <v>251037.24</v>
      </c>
      <c r="J3" s="73">
        <v>488381.51</v>
      </c>
      <c r="K3" s="73">
        <v>82447.570000000007</v>
      </c>
      <c r="L3" s="73">
        <f>104932.13+106997.1</f>
        <v>211929.23</v>
      </c>
    </row>
    <row r="4" spans="1:12">
      <c r="A4" s="72" t="s">
        <v>374</v>
      </c>
      <c r="B4" s="73">
        <v>0</v>
      </c>
      <c r="C4" s="73">
        <v>0</v>
      </c>
      <c r="D4" s="73">
        <v>0</v>
      </c>
      <c r="E4" s="73">
        <v>0</v>
      </c>
      <c r="F4" s="73">
        <v>0</v>
      </c>
      <c r="G4" s="73">
        <v>6440</v>
      </c>
      <c r="H4" s="73">
        <v>101618.52</v>
      </c>
      <c r="I4" s="73">
        <v>132356.76</v>
      </c>
      <c r="J4" s="73">
        <v>181381.99</v>
      </c>
      <c r="K4" s="73">
        <v>142979.4</v>
      </c>
      <c r="L4" s="73">
        <f>8759.35+50049.6</f>
        <v>58808.95</v>
      </c>
    </row>
    <row r="5" spans="1:12">
      <c r="A5" s="72" t="s">
        <v>375</v>
      </c>
      <c r="B5" s="73">
        <v>11445.57</v>
      </c>
      <c r="C5" s="73">
        <v>164.26</v>
      </c>
      <c r="D5" s="73">
        <v>2180.61</v>
      </c>
      <c r="E5" s="73">
        <v>8189.88</v>
      </c>
      <c r="F5" s="73">
        <v>24759.55</v>
      </c>
      <c r="G5" s="73">
        <v>7750.56</v>
      </c>
      <c r="H5" s="73">
        <v>6651.57</v>
      </c>
      <c r="I5" s="73">
        <v>6136.71</v>
      </c>
      <c r="J5" s="73">
        <v>13048.38</v>
      </c>
      <c r="K5" s="73">
        <v>6568.17</v>
      </c>
      <c r="L5" s="73">
        <v>2772.76</v>
      </c>
    </row>
    <row r="6" spans="1:12">
      <c r="A6" s="72" t="s">
        <v>376</v>
      </c>
      <c r="B6" s="73">
        <v>1418190.38</v>
      </c>
      <c r="C6" s="73">
        <v>1311913.3600000001</v>
      </c>
      <c r="D6" s="73">
        <v>943230.12</v>
      </c>
      <c r="E6" s="73">
        <v>1329548.99</v>
      </c>
      <c r="F6" s="73">
        <v>405403.7</v>
      </c>
      <c r="G6" s="73">
        <v>1189041.44</v>
      </c>
      <c r="H6" s="73">
        <v>3633381.59</v>
      </c>
      <c r="I6" s="73">
        <v>2188394.15</v>
      </c>
      <c r="J6" s="73">
        <v>3457736.9</v>
      </c>
      <c r="K6" s="73">
        <v>303294.3</v>
      </c>
      <c r="L6" s="73">
        <f>1379593.52+159877.88</f>
        <v>1539471.4</v>
      </c>
    </row>
    <row r="7" spans="1:12">
      <c r="A7" s="72" t="s">
        <v>425</v>
      </c>
      <c r="B7" s="73">
        <v>59461.91</v>
      </c>
      <c r="C7" s="73">
        <v>2746.81</v>
      </c>
      <c r="D7" s="73">
        <v>55221.9</v>
      </c>
      <c r="E7" s="73">
        <v>125986.7</v>
      </c>
      <c r="F7" s="73">
        <v>247819.33</v>
      </c>
      <c r="G7" s="73">
        <v>228254.46</v>
      </c>
      <c r="H7" s="73">
        <v>208300.52</v>
      </c>
      <c r="I7" s="73">
        <v>205821.51</v>
      </c>
      <c r="J7" s="73">
        <v>205821.26</v>
      </c>
      <c r="K7" s="73">
        <v>750000.11</v>
      </c>
      <c r="L7" s="73">
        <f>500000+50000</f>
        <v>550000</v>
      </c>
    </row>
    <row r="8" spans="1:12">
      <c r="A8" s="72" t="s">
        <v>426</v>
      </c>
      <c r="B8" s="73">
        <v>918815.53</v>
      </c>
      <c r="C8" s="73">
        <v>267232.86</v>
      </c>
      <c r="D8" s="73">
        <v>381171</v>
      </c>
      <c r="E8" s="73">
        <v>400061.63</v>
      </c>
      <c r="F8" s="73">
        <v>1605114.3</v>
      </c>
      <c r="G8" s="73">
        <v>1210427.6100000001</v>
      </c>
      <c r="H8" s="73">
        <v>1212114.68</v>
      </c>
      <c r="I8" s="73">
        <v>1183867.78</v>
      </c>
      <c r="J8" s="73">
        <f>773978.43+409671.18</f>
        <v>1183649.6100000001</v>
      </c>
      <c r="K8" s="73">
        <v>4183679.41</v>
      </c>
      <c r="L8" s="73">
        <v>3000000</v>
      </c>
    </row>
    <row r="9" spans="1:12">
      <c r="A9" s="72" t="s">
        <v>377</v>
      </c>
      <c r="B9" s="73">
        <v>300.08</v>
      </c>
      <c r="C9" s="73">
        <v>282.41000000000003</v>
      </c>
      <c r="D9" s="73">
        <v>305.07</v>
      </c>
      <c r="E9" s="73">
        <v>479.14</v>
      </c>
      <c r="F9" s="73">
        <v>286.32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</row>
    <row r="10" spans="1:12">
      <c r="A10" s="72" t="s">
        <v>378</v>
      </c>
      <c r="B10" s="73" t="s">
        <v>379</v>
      </c>
      <c r="C10" s="73" t="s">
        <v>379</v>
      </c>
      <c r="D10" s="73">
        <v>3041.31</v>
      </c>
      <c r="E10" s="73">
        <v>6380.35</v>
      </c>
      <c r="F10" s="73">
        <v>10240.969999999999</v>
      </c>
      <c r="G10" s="73">
        <v>9940.98</v>
      </c>
      <c r="H10" s="73">
        <v>4343.4799999999996</v>
      </c>
      <c r="I10" s="73">
        <v>4292.1400000000003</v>
      </c>
      <c r="J10" s="73">
        <v>7147.14</v>
      </c>
      <c r="K10" s="73">
        <v>6480.19</v>
      </c>
      <c r="L10" s="73">
        <v>3396.54</v>
      </c>
    </row>
    <row r="11" spans="1:12">
      <c r="A11" s="74" t="s">
        <v>380</v>
      </c>
      <c r="B11" s="75">
        <v>2476684.86</v>
      </c>
      <c r="C11" s="75">
        <v>1668871.19</v>
      </c>
      <c r="D11" s="75">
        <v>1517271.96</v>
      </c>
      <c r="E11" s="75">
        <v>2033038.54</v>
      </c>
      <c r="F11" s="75">
        <v>2353176.86</v>
      </c>
      <c r="G11" s="75">
        <v>2768742.95</v>
      </c>
      <c r="H11" s="75">
        <v>5339468.6500000004</v>
      </c>
      <c r="I11" s="75">
        <f>SUM(I3:I10)</f>
        <v>3971906.2900000005</v>
      </c>
      <c r="J11" s="75">
        <f>SUM(J3:J10)</f>
        <v>5537166.79</v>
      </c>
      <c r="K11" s="75">
        <f>SUM(K3:K10)</f>
        <v>5475449.1500000004</v>
      </c>
      <c r="L11" s="75">
        <f>SUM(L3:L10)</f>
        <v>5366378.88</v>
      </c>
    </row>
    <row r="12" spans="1:12"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>
      <c r="A13" s="74" t="s">
        <v>56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>
      <c r="A14" t="s">
        <v>339</v>
      </c>
      <c r="B14" s="76">
        <v>1836300</v>
      </c>
      <c r="C14" s="76">
        <v>1290200</v>
      </c>
      <c r="D14" s="76">
        <v>1308200</v>
      </c>
      <c r="E14" s="76">
        <v>1395600</v>
      </c>
      <c r="F14" s="76">
        <v>1450000</v>
      </c>
      <c r="G14" s="76">
        <v>1506200</v>
      </c>
      <c r="H14" s="76">
        <v>3591680</v>
      </c>
      <c r="I14" s="76">
        <v>2616900</v>
      </c>
      <c r="J14" s="76">
        <f>2654400+990000</f>
        <v>3644400</v>
      </c>
      <c r="K14" s="76">
        <v>3787600</v>
      </c>
      <c r="L14" s="76">
        <f>2876400+1056000</f>
        <v>3932400</v>
      </c>
    </row>
    <row r="15" spans="1:12">
      <c r="A15" t="s">
        <v>381</v>
      </c>
      <c r="B15" s="76">
        <v>150000</v>
      </c>
      <c r="C15" s="76">
        <v>100000</v>
      </c>
      <c r="D15" s="76">
        <v>103000</v>
      </c>
      <c r="E15" s="76">
        <v>103000</v>
      </c>
      <c r="F15" s="76">
        <v>103000</v>
      </c>
      <c r="G15" s="76">
        <v>135000</v>
      </c>
      <c r="H15" s="76">
        <v>241500</v>
      </c>
      <c r="I15" s="76">
        <f>127500+15000+30000</f>
        <v>172500</v>
      </c>
      <c r="J15" s="76">
        <f>170000+20000</f>
        <v>190000</v>
      </c>
      <c r="K15" s="76">
        <v>190000</v>
      </c>
      <c r="L15" s="76">
        <f>150000+20000</f>
        <v>170000</v>
      </c>
    </row>
    <row r="16" spans="1:12">
      <c r="A16" t="s">
        <v>382</v>
      </c>
      <c r="B16" s="76">
        <v>10500</v>
      </c>
      <c r="C16" s="76">
        <v>7000</v>
      </c>
      <c r="D16" s="76">
        <v>7000</v>
      </c>
      <c r="E16" s="76">
        <v>7000</v>
      </c>
      <c r="F16" s="76">
        <v>7000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1:12">
      <c r="A17" t="s">
        <v>383</v>
      </c>
      <c r="B17" s="76">
        <v>13500</v>
      </c>
      <c r="C17" s="76">
        <v>14000</v>
      </c>
      <c r="D17" s="76">
        <v>14000</v>
      </c>
      <c r="E17" s="76">
        <v>14000</v>
      </c>
      <c r="F17" s="76">
        <v>14000</v>
      </c>
      <c r="G17" s="76">
        <v>3500</v>
      </c>
      <c r="H17" s="76">
        <v>8050</v>
      </c>
      <c r="I17" s="76">
        <v>5250</v>
      </c>
      <c r="J17" s="76">
        <v>7000</v>
      </c>
      <c r="K17" s="76">
        <v>10000</v>
      </c>
      <c r="L17" s="76">
        <v>10000</v>
      </c>
    </row>
    <row r="18" spans="1:12">
      <c r="A18" t="s">
        <v>427</v>
      </c>
      <c r="B18" s="76">
        <v>7500</v>
      </c>
      <c r="C18" s="76">
        <v>5000</v>
      </c>
      <c r="D18" s="76">
        <v>5000</v>
      </c>
      <c r="E18" s="76">
        <v>5000</v>
      </c>
      <c r="F18" s="76">
        <v>5000</v>
      </c>
      <c r="G18" s="76">
        <v>6000</v>
      </c>
      <c r="H18" s="76">
        <v>13800</v>
      </c>
      <c r="I18" s="76">
        <v>9000</v>
      </c>
      <c r="J18" s="76">
        <v>0</v>
      </c>
      <c r="K18" s="76">
        <v>0</v>
      </c>
      <c r="L18" s="76">
        <v>0</v>
      </c>
    </row>
    <row r="19" spans="1:12">
      <c r="A19" s="74" t="s">
        <v>380</v>
      </c>
      <c r="B19" s="75">
        <v>2017800</v>
      </c>
      <c r="C19" s="75">
        <v>1416200</v>
      </c>
      <c r="D19" s="75">
        <v>1437200</v>
      </c>
      <c r="E19" s="75">
        <v>1524600</v>
      </c>
      <c r="F19" s="75">
        <v>1579000</v>
      </c>
      <c r="G19" s="75">
        <v>1650700</v>
      </c>
      <c r="H19" s="75">
        <v>3855030</v>
      </c>
      <c r="I19" s="75">
        <f>SUM(I14:I18)</f>
        <v>2803650</v>
      </c>
      <c r="J19" s="75">
        <f>SUM(J14:J18)</f>
        <v>3841400</v>
      </c>
      <c r="K19" s="75">
        <f>SUM(K14:K18)</f>
        <v>3987600</v>
      </c>
      <c r="L19" s="75">
        <f>SUM(L14:L18)</f>
        <v>4112400</v>
      </c>
    </row>
    <row r="20" spans="1:12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1:12">
      <c r="A21" s="69" t="s">
        <v>384</v>
      </c>
      <c r="B21" s="77">
        <v>458884.86</v>
      </c>
      <c r="C21" s="77">
        <v>252671.19</v>
      </c>
      <c r="D21" s="77">
        <v>80071.960000000006</v>
      </c>
      <c r="E21" s="77">
        <v>508438.54</v>
      </c>
      <c r="F21" s="77">
        <v>774176.86</v>
      </c>
      <c r="G21" s="77">
        <f>G11-G19</f>
        <v>1118042.9500000002</v>
      </c>
      <c r="H21" s="77">
        <v>1484438.65</v>
      </c>
      <c r="I21" s="77">
        <f>I11-I19</f>
        <v>1168256.2900000005</v>
      </c>
      <c r="J21" s="77">
        <f>J11-J19</f>
        <v>1695766.79</v>
      </c>
      <c r="K21" s="77">
        <f>K11-K19</f>
        <v>1487849.1500000004</v>
      </c>
      <c r="L21" s="77">
        <f>L11-L19</f>
        <v>1253978.8799999999</v>
      </c>
    </row>
    <row r="22" spans="1:12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>
      <c r="A23" t="s">
        <v>385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95973.19</v>
      </c>
      <c r="H23" s="76">
        <v>96763.62</v>
      </c>
      <c r="I23" s="76">
        <v>125395.67</v>
      </c>
      <c r="J23" s="76">
        <v>167575.45000000001</v>
      </c>
      <c r="K23" s="76">
        <v>171287.41</v>
      </c>
      <c r="L23" s="76">
        <v>171211.38</v>
      </c>
    </row>
    <row r="24" spans="1:12">
      <c r="A24" t="s">
        <v>41</v>
      </c>
      <c r="B24" s="76" t="s">
        <v>379</v>
      </c>
      <c r="C24" s="76">
        <v>25050.33</v>
      </c>
      <c r="D24" s="76">
        <v>21360.54</v>
      </c>
      <c r="E24" s="76">
        <v>25032.91</v>
      </c>
      <c r="F24" s="76">
        <v>31050.41</v>
      </c>
      <c r="G24" s="76">
        <v>30272.75</v>
      </c>
      <c r="H24" s="76">
        <v>105982.8</v>
      </c>
      <c r="I24" s="76">
        <v>161225.81</v>
      </c>
      <c r="J24" s="76">
        <v>179447</v>
      </c>
      <c r="K24" s="76">
        <f>192926+1163.5</f>
        <v>194089.5</v>
      </c>
      <c r="L24" s="76">
        <v>44305.94</v>
      </c>
    </row>
    <row r="25" spans="1:12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</row>
    <row r="26" spans="1:12">
      <c r="A26" s="78" t="s">
        <v>9</v>
      </c>
      <c r="B26" s="79">
        <v>458884.86</v>
      </c>
      <c r="C26" s="79">
        <v>227620.86</v>
      </c>
      <c r="D26" s="79">
        <v>58711.42</v>
      </c>
      <c r="E26" s="79">
        <v>483405.63</v>
      </c>
      <c r="F26" s="79">
        <v>743126.45</v>
      </c>
      <c r="G26" s="79">
        <v>991797.01</v>
      </c>
      <c r="H26" s="79">
        <v>1281692.2300000002</v>
      </c>
      <c r="I26" s="79">
        <f>I21-SUM(I23:I24)</f>
        <v>881634.81000000052</v>
      </c>
      <c r="J26" s="79">
        <f>J21-SUM(J23:J24)</f>
        <v>1348744.34</v>
      </c>
      <c r="K26" s="79">
        <f>K21-SUM(K23:K24)</f>
        <v>1122472.2400000002</v>
      </c>
      <c r="L26" s="79">
        <f>L21-SUM(L23:L24)</f>
        <v>1038461.5599999998</v>
      </c>
    </row>
    <row r="27" spans="1:12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2">
      <c r="A28" t="s">
        <v>386</v>
      </c>
      <c r="B28" s="76">
        <v>303989.52</v>
      </c>
      <c r="C28" s="76">
        <v>87411.839999999997</v>
      </c>
      <c r="D28" s="76" t="s">
        <v>387</v>
      </c>
      <c r="E28" s="76">
        <v>316667.52000000002</v>
      </c>
      <c r="F28" s="76">
        <v>491795</v>
      </c>
      <c r="G28" s="76">
        <v>804623.8</v>
      </c>
      <c r="H28" s="76">
        <v>1100476.1600000001</v>
      </c>
      <c r="I28" s="76">
        <f>292189.8+382635.5</f>
        <v>674825.3</v>
      </c>
      <c r="J28" s="76">
        <f>526765.68+463765.5</f>
        <v>990531.18</v>
      </c>
      <c r="K28" s="76">
        <f>416260.2+227753.44</f>
        <v>644013.64</v>
      </c>
      <c r="L28" s="76">
        <f>126537.63+429255.2</f>
        <v>555792.83000000007</v>
      </c>
    </row>
    <row r="29" spans="1:12">
      <c r="A29" t="s">
        <v>388</v>
      </c>
      <c r="B29" s="76" t="s">
        <v>387</v>
      </c>
      <c r="C29" s="76" t="s">
        <v>387</v>
      </c>
      <c r="D29" s="76">
        <v>20000</v>
      </c>
      <c r="E29" s="76" t="s">
        <v>387</v>
      </c>
      <c r="F29" s="76">
        <v>30000</v>
      </c>
      <c r="G29" s="76">
        <v>0</v>
      </c>
      <c r="H29" s="76">
        <v>0</v>
      </c>
      <c r="I29" s="76">
        <v>0</v>
      </c>
      <c r="J29" s="76">
        <v>30000</v>
      </c>
      <c r="K29" s="76">
        <v>0</v>
      </c>
      <c r="L29" s="76">
        <v>145000</v>
      </c>
    </row>
    <row r="30" spans="1:12">
      <c r="A30" t="s">
        <v>389</v>
      </c>
      <c r="B30" s="76"/>
      <c r="C30" s="76"/>
      <c r="D30" s="76"/>
      <c r="E30" s="76">
        <v>11891.88</v>
      </c>
      <c r="F30" s="76">
        <v>20684.900000000001</v>
      </c>
      <c r="G30" s="76">
        <v>25618.32</v>
      </c>
      <c r="H30" s="76">
        <v>26147.16</v>
      </c>
      <c r="I30" s="76">
        <f>8.5*180</f>
        <v>1530</v>
      </c>
      <c r="J30" s="76">
        <f>1573+23734.1</f>
        <v>25307.1</v>
      </c>
      <c r="K30" s="76">
        <f>1911.8+29977.34</f>
        <v>31889.14</v>
      </c>
      <c r="L30" s="76">
        <f>1965.6+30672.72</f>
        <v>32638.32</v>
      </c>
    </row>
    <row r="31" spans="1:12">
      <c r="A31" s="80" t="s">
        <v>390</v>
      </c>
      <c r="B31" s="81">
        <v>154895.34</v>
      </c>
      <c r="C31" s="81">
        <v>140209.01999999999</v>
      </c>
      <c r="D31" s="81">
        <v>78711.42</v>
      </c>
      <c r="E31" s="81">
        <v>178629.99</v>
      </c>
      <c r="F31" s="81">
        <v>302016.34999999998</v>
      </c>
      <c r="G31" s="81">
        <v>212791.53</v>
      </c>
      <c r="H31" s="81">
        <v>207363.23000000007</v>
      </c>
      <c r="I31" s="81">
        <f>I26-I28+SUM(I29:I30)</f>
        <v>208339.51000000047</v>
      </c>
      <c r="J31" s="81">
        <f>J26-J28+SUM(J29:J30)</f>
        <v>413520.26</v>
      </c>
      <c r="K31" s="81">
        <f>K26-K28+SUM(K29:K30)</f>
        <v>510347.74000000022</v>
      </c>
      <c r="L31" s="81">
        <f>L26-L28+SUM(L29:L30)</f>
        <v>660307.04999999981</v>
      </c>
    </row>
    <row r="32" spans="1:12">
      <c r="A32" t="s">
        <v>391</v>
      </c>
      <c r="B32" s="76"/>
      <c r="C32" s="76"/>
      <c r="D32" s="76">
        <v>128278.86</v>
      </c>
      <c r="E32" s="76"/>
      <c r="F32" s="76"/>
      <c r="G32" s="76"/>
      <c r="H32" s="76"/>
      <c r="I32" s="76"/>
      <c r="J32" s="76"/>
      <c r="K32" s="76"/>
      <c r="L32" s="76"/>
    </row>
    <row r="33" spans="1:12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1:12">
      <c r="A34" s="80" t="s">
        <v>392</v>
      </c>
      <c r="B34" s="81">
        <v>20000</v>
      </c>
      <c r="C34" s="81">
        <v>20000</v>
      </c>
      <c r="D34" s="81">
        <v>40000</v>
      </c>
      <c r="E34" s="81">
        <v>40000</v>
      </c>
      <c r="F34" s="81">
        <v>70000</v>
      </c>
      <c r="G34" s="81">
        <v>70000</v>
      </c>
      <c r="H34" s="81">
        <v>70000</v>
      </c>
      <c r="I34" s="81">
        <v>70000</v>
      </c>
      <c r="J34" s="81">
        <v>100000</v>
      </c>
      <c r="K34" s="81">
        <v>100000</v>
      </c>
      <c r="L34" s="81">
        <v>125000</v>
      </c>
    </row>
    <row r="35" spans="1:12">
      <c r="A35" s="80" t="s">
        <v>407</v>
      </c>
      <c r="B35" s="81"/>
      <c r="C35" s="81"/>
      <c r="D35" s="81"/>
      <c r="E35" s="81"/>
      <c r="F35" s="81"/>
      <c r="G35" s="81">
        <v>1305</v>
      </c>
      <c r="H35" s="81">
        <v>1305</v>
      </c>
      <c r="I35" s="81">
        <v>6836.01</v>
      </c>
      <c r="J35" s="81">
        <v>10661.01</v>
      </c>
      <c r="K35" s="81">
        <v>16651.53</v>
      </c>
      <c r="L35" s="81">
        <v>136851.53</v>
      </c>
    </row>
    <row r="36" spans="1:12">
      <c r="A36" s="80" t="s">
        <v>393</v>
      </c>
      <c r="B36" s="81">
        <v>77470.33</v>
      </c>
      <c r="C36" s="81">
        <v>45134.18</v>
      </c>
      <c r="D36" s="81">
        <v>45032.87</v>
      </c>
      <c r="E36" s="81">
        <v>40252.79</v>
      </c>
      <c r="F36" s="81">
        <v>40399.9</v>
      </c>
      <c r="G36" s="81">
        <v>40616.410000000003</v>
      </c>
      <c r="H36" s="81">
        <v>40701.94</v>
      </c>
      <c r="I36" s="81">
        <v>40391.99</v>
      </c>
      <c r="J36" s="81">
        <v>40382.74</v>
      </c>
      <c r="K36" s="81">
        <v>40383.760000000002</v>
      </c>
      <c r="L36" s="81">
        <v>40383.760000000002</v>
      </c>
    </row>
    <row r="37" spans="1:12">
      <c r="A37" s="80" t="s">
        <v>394</v>
      </c>
      <c r="B37" s="81">
        <v>19300</v>
      </c>
      <c r="C37" s="81"/>
      <c r="D37" s="81" t="s">
        <v>395</v>
      </c>
      <c r="E37" s="81" t="s">
        <v>396</v>
      </c>
      <c r="F37" s="81" t="s">
        <v>396</v>
      </c>
      <c r="G37" s="81" t="s">
        <v>396</v>
      </c>
      <c r="H37" s="81" t="s">
        <v>396</v>
      </c>
      <c r="I37" s="81" t="s">
        <v>396</v>
      </c>
      <c r="J37" s="81" t="s">
        <v>396</v>
      </c>
      <c r="K37" s="81" t="s">
        <v>396</v>
      </c>
      <c r="L37" s="81" t="s">
        <v>396</v>
      </c>
    </row>
    <row r="39" spans="1:12">
      <c r="A39" s="94" t="s">
        <v>428</v>
      </c>
    </row>
    <row r="40" spans="1:12">
      <c r="A40" s="94" t="s">
        <v>429</v>
      </c>
    </row>
    <row r="41" spans="1:12">
      <c r="A41" s="94" t="s">
        <v>430</v>
      </c>
    </row>
    <row r="43" spans="1:12">
      <c r="A43" t="s">
        <v>605</v>
      </c>
    </row>
    <row r="44" spans="1:12">
      <c r="E44" s="71" t="s">
        <v>599</v>
      </c>
    </row>
    <row r="45" spans="1:12">
      <c r="A45" s="72" t="s">
        <v>373</v>
      </c>
      <c r="E45" s="73">
        <f>26927.74+99490.23</f>
        <v>126417.97</v>
      </c>
    </row>
    <row r="46" spans="1:12">
      <c r="A46" s="72" t="s">
        <v>374</v>
      </c>
      <c r="E46" s="73">
        <f>12385.52+145404.51</f>
        <v>157790.03</v>
      </c>
    </row>
    <row r="47" spans="1:12">
      <c r="A47" s="72" t="s">
        <v>375</v>
      </c>
      <c r="E47" s="124">
        <v>4691.79</v>
      </c>
    </row>
    <row r="48" spans="1:12">
      <c r="A48" s="72" t="s">
        <v>376</v>
      </c>
      <c r="E48" s="73">
        <f>1379990.35+6124.5</f>
        <v>1386114.85</v>
      </c>
    </row>
    <row r="49" spans="1:5">
      <c r="A49" s="72" t="s">
        <v>425</v>
      </c>
      <c r="E49" s="124">
        <f>630000+70000</f>
        <v>700000</v>
      </c>
    </row>
    <row r="50" spans="1:5">
      <c r="A50" s="72" t="s">
        <v>426</v>
      </c>
      <c r="E50" s="124">
        <v>3450000</v>
      </c>
    </row>
    <row r="51" spans="1:5">
      <c r="A51" s="72" t="s">
        <v>377</v>
      </c>
      <c r="E51" s="73">
        <v>0</v>
      </c>
    </row>
    <row r="52" spans="1:5">
      <c r="A52" s="72" t="s">
        <v>378</v>
      </c>
      <c r="E52" s="73">
        <v>7861.14</v>
      </c>
    </row>
    <row r="53" spans="1:5">
      <c r="A53" s="74" t="s">
        <v>380</v>
      </c>
      <c r="E53" s="75">
        <f>SUM(E45:E52)</f>
        <v>5832875.7800000003</v>
      </c>
    </row>
    <row r="54" spans="1:5">
      <c r="E54" s="76"/>
    </row>
    <row r="55" spans="1:5">
      <c r="A55" s="74" t="s">
        <v>56</v>
      </c>
      <c r="E55" s="76"/>
    </row>
    <row r="56" spans="1:5">
      <c r="A56" t="s">
        <v>339</v>
      </c>
      <c r="E56" s="122">
        <f>2985600+1092000</f>
        <v>4077600</v>
      </c>
    </row>
    <row r="57" spans="1:5">
      <c r="A57" t="s">
        <v>381</v>
      </c>
      <c r="E57" s="122">
        <f>150000+20000</f>
        <v>170000</v>
      </c>
    </row>
    <row r="58" spans="1:5">
      <c r="A58" t="s">
        <v>382</v>
      </c>
      <c r="E58" s="122">
        <v>0</v>
      </c>
    </row>
    <row r="59" spans="1:5">
      <c r="A59" t="s">
        <v>383</v>
      </c>
      <c r="E59" s="122">
        <v>8000</v>
      </c>
    </row>
    <row r="60" spans="1:5">
      <c r="A60" t="s">
        <v>427</v>
      </c>
      <c r="E60" s="122">
        <v>0</v>
      </c>
    </row>
    <row r="61" spans="1:5">
      <c r="A61" s="74" t="s">
        <v>380</v>
      </c>
      <c r="E61" s="75">
        <f>SUM(E56:E60)</f>
        <v>4255600</v>
      </c>
    </row>
    <row r="62" spans="1:5">
      <c r="E62" s="76"/>
    </row>
    <row r="63" spans="1:5">
      <c r="A63" s="69" t="s">
        <v>384</v>
      </c>
      <c r="E63" s="77">
        <f>E53-E61</f>
        <v>1577275.7800000003</v>
      </c>
    </row>
    <row r="64" spans="1:5">
      <c r="E64" s="76"/>
    </row>
    <row r="65" spans="1:5">
      <c r="A65" t="s">
        <v>385</v>
      </c>
      <c r="E65" s="76">
        <v>186070.37</v>
      </c>
    </row>
    <row r="66" spans="1:5">
      <c r="A66" t="s">
        <v>41</v>
      </c>
      <c r="E66" s="76">
        <v>47486.25</v>
      </c>
    </row>
    <row r="67" spans="1:5">
      <c r="E67" s="76"/>
    </row>
    <row r="68" spans="1:5">
      <c r="A68" s="78" t="s">
        <v>9</v>
      </c>
      <c r="E68" s="79">
        <f>E63-SUM(E65:E66)</f>
        <v>1343719.1600000001</v>
      </c>
    </row>
    <row r="69" spans="1:5">
      <c r="E69" s="76"/>
    </row>
    <row r="70" spans="1:5">
      <c r="A70" t="s">
        <v>386</v>
      </c>
      <c r="E70" s="122">
        <f>463180.9+216431.12</f>
        <v>679612.02</v>
      </c>
    </row>
    <row r="71" spans="1:5">
      <c r="A71" t="s">
        <v>388</v>
      </c>
      <c r="E71" s="122">
        <v>0</v>
      </c>
    </row>
    <row r="72" spans="1:5">
      <c r="A72" t="s">
        <v>389</v>
      </c>
      <c r="E72" s="76">
        <f>46688.52+2622.05</f>
        <v>49310.57</v>
      </c>
    </row>
    <row r="73" spans="1:5">
      <c r="A73" s="80" t="s">
        <v>390</v>
      </c>
      <c r="E73" s="81">
        <f>E68-E70+SUM(E71:E72)</f>
        <v>713417.71000000008</v>
      </c>
    </row>
    <row r="74" spans="1:5">
      <c r="A74" t="s">
        <v>391</v>
      </c>
      <c r="E74" s="76"/>
    </row>
    <row r="75" spans="1:5">
      <c r="E75" s="76"/>
    </row>
    <row r="76" spans="1:5">
      <c r="A76" s="80" t="s">
        <v>392</v>
      </c>
      <c r="E76" s="123">
        <v>125000</v>
      </c>
    </row>
    <row r="77" spans="1:5">
      <c r="A77" s="80" t="s">
        <v>407</v>
      </c>
      <c r="E77" s="123">
        <v>151851.53</v>
      </c>
    </row>
    <row r="78" spans="1:5">
      <c r="A78" s="80" t="s">
        <v>393</v>
      </c>
      <c r="E78" s="123">
        <v>35383.760000000002</v>
      </c>
    </row>
    <row r="79" spans="1:5">
      <c r="A79" s="80" t="s">
        <v>394</v>
      </c>
      <c r="E79" s="81" t="s">
        <v>396</v>
      </c>
    </row>
  </sheetData>
  <pageMargins left="0.7" right="0.7" top="0.75" bottom="0.75" header="0.3" footer="0.3"/>
  <pageSetup paperSize="9" scale="42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4"/>
  <sheetViews>
    <sheetView zoomScale="90" zoomScaleNormal="90" workbookViewId="0">
      <pane ySplit="6" topLeftCell="A7" activePane="bottomLeft" state="frozen"/>
      <selection pane="bottomLeft" activeCell="B42" sqref="B42"/>
    </sheetView>
  </sheetViews>
  <sheetFormatPr baseColWidth="10" defaultColWidth="10.85546875" defaultRowHeight="15"/>
  <cols>
    <col min="1" max="1" width="6.7109375" bestFit="1" customWidth="1"/>
    <col min="2" max="2" width="77.140625" bestFit="1" customWidth="1"/>
    <col min="3" max="3" width="15.140625" customWidth="1"/>
    <col min="4" max="4" width="13.85546875" customWidth="1"/>
    <col min="5" max="5" width="15.140625" customWidth="1"/>
    <col min="6" max="6" width="4.5703125" customWidth="1"/>
    <col min="7" max="7" width="15.140625" customWidth="1"/>
    <col min="8" max="8" width="13.85546875" customWidth="1"/>
    <col min="9" max="9" width="15.140625" customWidth="1"/>
    <col min="10" max="10" width="4.5703125" customWidth="1"/>
    <col min="11" max="11" width="15.140625" customWidth="1"/>
    <col min="12" max="12" width="13.85546875" customWidth="1"/>
    <col min="13" max="13" width="15.140625" customWidth="1"/>
    <col min="14" max="14" width="4.5703125" customWidth="1"/>
    <col min="15" max="15" width="15.140625" customWidth="1"/>
    <col min="16" max="16" width="13.85546875" customWidth="1"/>
    <col min="17" max="17" width="15.140625" customWidth="1"/>
    <col min="18" max="18" width="4.5703125" customWidth="1"/>
  </cols>
  <sheetData>
    <row r="1" spans="1:15" ht="18.75">
      <c r="A1" s="1"/>
      <c r="B1" s="2"/>
      <c r="C1" s="3"/>
      <c r="D1" s="4"/>
      <c r="E1" s="4"/>
      <c r="G1" s="3"/>
      <c r="H1" s="4"/>
      <c r="I1" s="4"/>
      <c r="K1" s="63"/>
      <c r="O1" s="63"/>
    </row>
    <row r="2" spans="1:15">
      <c r="A2" s="5"/>
      <c r="B2" s="146" t="s">
        <v>934</v>
      </c>
      <c r="C2" s="3" t="s">
        <v>0</v>
      </c>
      <c r="D2" s="4"/>
      <c r="E2" s="6" t="s">
        <v>1</v>
      </c>
      <c r="G2" s="3" t="s">
        <v>0</v>
      </c>
      <c r="H2" s="4"/>
      <c r="I2" s="6" t="s">
        <v>1</v>
      </c>
    </row>
    <row r="3" spans="1:15">
      <c r="A3" s="5"/>
      <c r="B3" s="5"/>
      <c r="C3" s="7">
        <v>37671</v>
      </c>
      <c r="D3" s="4"/>
      <c r="E3" s="87">
        <v>0</v>
      </c>
      <c r="G3" s="7">
        <v>30000</v>
      </c>
      <c r="H3" s="4"/>
      <c r="I3" s="87">
        <v>0</v>
      </c>
    </row>
    <row r="4" spans="1:15" ht="21">
      <c r="A4" s="8"/>
      <c r="B4" s="8"/>
      <c r="C4" s="173" t="s">
        <v>920</v>
      </c>
      <c r="D4" s="174"/>
      <c r="E4" s="175"/>
      <c r="G4" s="173" t="s">
        <v>921</v>
      </c>
      <c r="H4" s="174"/>
      <c r="I4" s="175"/>
    </row>
    <row r="5" spans="1:15" ht="21">
      <c r="A5" s="9" t="s">
        <v>2</v>
      </c>
      <c r="B5" s="10" t="s">
        <v>3</v>
      </c>
      <c r="C5" s="11" t="s">
        <v>4</v>
      </c>
      <c r="D5" s="12" t="s">
        <v>5</v>
      </c>
      <c r="E5" s="11" t="s">
        <v>6</v>
      </c>
      <c r="G5" s="11" t="s">
        <v>4</v>
      </c>
      <c r="H5" s="12" t="s">
        <v>5</v>
      </c>
      <c r="I5" s="11" t="s">
        <v>6</v>
      </c>
    </row>
    <row r="6" spans="1:15">
      <c r="A6" s="8"/>
      <c r="B6" s="8"/>
      <c r="C6" s="8"/>
      <c r="D6" s="4"/>
      <c r="E6" s="4"/>
      <c r="G6" s="8"/>
      <c r="H6" s="4"/>
      <c r="I6" s="4"/>
    </row>
    <row r="7" spans="1:15" ht="21">
      <c r="A7" s="9">
        <v>1</v>
      </c>
      <c r="B7" s="13" t="s">
        <v>7</v>
      </c>
      <c r="C7" s="14">
        <f>SUM(C8,C10,C13,C18,C25,C28)</f>
        <v>656771.57000000007</v>
      </c>
      <c r="D7" s="14">
        <f>SUM(D8,D10,D13,D18,D25,D28)</f>
        <v>419448.11</v>
      </c>
      <c r="E7" s="14">
        <f>SUM(E8,E10,E13,E18,E25,E28)</f>
        <v>237323.46000000002</v>
      </c>
      <c r="G7" s="14">
        <f>SUM(G8,G10,G13,G18,G25,G28)</f>
        <v>702880.59</v>
      </c>
      <c r="H7" s="14">
        <f>SUM(H8,H10,H13,H18,H25,H28)</f>
        <v>474880.58999999997</v>
      </c>
      <c r="I7" s="14">
        <f>SUM(I8,I10,I13,I18,I25,I28)</f>
        <v>228000</v>
      </c>
    </row>
    <row r="8" spans="1:15">
      <c r="A8" s="15" t="s">
        <v>8</v>
      </c>
      <c r="B8" s="16" t="s">
        <v>9</v>
      </c>
      <c r="C8" s="17">
        <f>C9</f>
        <v>593204.31000000006</v>
      </c>
      <c r="D8" s="18">
        <f>SUM(D9)</f>
        <v>593204.31000000006</v>
      </c>
      <c r="E8" s="17">
        <f>SUM(E9)</f>
        <v>0</v>
      </c>
      <c r="G8" s="17">
        <v>400000</v>
      </c>
      <c r="H8" s="18">
        <f>SUM(H9)</f>
        <v>400000</v>
      </c>
      <c r="I8" s="17">
        <f>SUM(I9)</f>
        <v>0</v>
      </c>
    </row>
    <row r="9" spans="1:15">
      <c r="A9" s="19" t="s">
        <v>10</v>
      </c>
      <c r="B9" s="54" t="s">
        <v>11</v>
      </c>
      <c r="C9" s="26">
        <v>593204.31000000006</v>
      </c>
      <c r="D9" s="39">
        <f>-E9+C9</f>
        <v>593204.31000000006</v>
      </c>
      <c r="E9" s="26">
        <v>0</v>
      </c>
      <c r="F9" s="91"/>
      <c r="G9" s="26">
        <v>400000</v>
      </c>
      <c r="H9" s="39">
        <f>-I9+G9</f>
        <v>400000</v>
      </c>
      <c r="I9" s="26">
        <v>0</v>
      </c>
    </row>
    <row r="10" spans="1:15">
      <c r="A10" s="23" t="s">
        <v>922</v>
      </c>
      <c r="B10" s="24" t="s">
        <v>13</v>
      </c>
      <c r="C10" s="17">
        <f>SUM(C11:C12)</f>
        <v>0</v>
      </c>
      <c r="D10" s="18">
        <f>SUM(D11:D12)</f>
        <v>-2596.81</v>
      </c>
      <c r="E10" s="17">
        <f>SUM(E11:E12)</f>
        <v>2596.81</v>
      </c>
      <c r="F10" s="91"/>
      <c r="G10" s="17">
        <f>SUM(G11:G12)</f>
        <v>0</v>
      </c>
      <c r="H10" s="18">
        <f>SUM(H11:H12)</f>
        <v>-10000</v>
      </c>
      <c r="I10" s="17">
        <f>SUM(I11:I12)</f>
        <v>10000</v>
      </c>
    </row>
    <row r="11" spans="1:15">
      <c r="A11" s="25" t="s">
        <v>14</v>
      </c>
      <c r="B11" s="20" t="s">
        <v>923</v>
      </c>
      <c r="C11" s="38">
        <v>0</v>
      </c>
      <c r="D11" s="21">
        <f>-E11+C11</f>
        <v>-2596.81</v>
      </c>
      <c r="E11" s="96">
        <v>2596.81</v>
      </c>
      <c r="F11" s="91"/>
      <c r="G11" s="38">
        <v>0</v>
      </c>
      <c r="H11" s="21">
        <f>-I11+G11</f>
        <v>-10000</v>
      </c>
      <c r="I11" s="96">
        <v>10000</v>
      </c>
    </row>
    <row r="12" spans="1:15">
      <c r="A12" s="45" t="s">
        <v>16</v>
      </c>
      <c r="B12" s="46" t="s">
        <v>17</v>
      </c>
      <c r="C12" s="47">
        <v>0</v>
      </c>
      <c r="D12" s="48">
        <f>-E12+C12</f>
        <v>0</v>
      </c>
      <c r="E12" s="126">
        <v>0</v>
      </c>
      <c r="F12" s="91"/>
      <c r="G12" s="47">
        <v>0</v>
      </c>
      <c r="H12" s="48">
        <f>-I12+G12</f>
        <v>0</v>
      </c>
      <c r="I12" s="126">
        <v>0</v>
      </c>
    </row>
    <row r="13" spans="1:15">
      <c r="A13" s="27" t="s">
        <v>18</v>
      </c>
      <c r="B13" s="16" t="s">
        <v>19</v>
      </c>
      <c r="C13" s="17">
        <f>SUM(C14:C17)</f>
        <v>0</v>
      </c>
      <c r="D13" s="18">
        <f>SUM(D14:D17)</f>
        <v>0</v>
      </c>
      <c r="E13" s="17">
        <f>SUM(E14:E17)</f>
        <v>0</v>
      </c>
      <c r="F13" s="91"/>
      <c r="G13" s="17">
        <f>SUM(G14:G17)</f>
        <v>35382.76</v>
      </c>
      <c r="H13" s="18">
        <f>SUM(H14:H17)</f>
        <v>-111617.23999999999</v>
      </c>
      <c r="I13" s="17">
        <f>SUM(I14:I17)</f>
        <v>147000</v>
      </c>
    </row>
    <row r="14" spans="1:15">
      <c r="A14" s="147" t="s">
        <v>20</v>
      </c>
      <c r="B14" s="148" t="s">
        <v>21</v>
      </c>
      <c r="C14" s="84">
        <v>0</v>
      </c>
      <c r="D14" s="149">
        <f>-E14+C14</f>
        <v>0</v>
      </c>
      <c r="E14" s="84">
        <v>0</v>
      </c>
      <c r="F14" s="91"/>
      <c r="G14" s="84">
        <v>0</v>
      </c>
      <c r="H14" s="149">
        <f>-I14+G14</f>
        <v>-66000</v>
      </c>
      <c r="I14" s="84">
        <v>66000</v>
      </c>
    </row>
    <row r="15" spans="1:15">
      <c r="A15" s="147" t="s">
        <v>22</v>
      </c>
      <c r="B15" s="148" t="s">
        <v>23</v>
      </c>
      <c r="C15" s="84">
        <v>0</v>
      </c>
      <c r="D15" s="149">
        <f>-E15+C15</f>
        <v>0</v>
      </c>
      <c r="E15" s="84">
        <v>0</v>
      </c>
      <c r="F15" s="91"/>
      <c r="G15" s="84">
        <v>0</v>
      </c>
      <c r="H15" s="149">
        <f>-I15+G15</f>
        <v>-66000</v>
      </c>
      <c r="I15" s="84">
        <v>66000</v>
      </c>
    </row>
    <row r="16" spans="1:15">
      <c r="A16" s="93" t="s">
        <v>24</v>
      </c>
      <c r="B16" s="54" t="s">
        <v>25</v>
      </c>
      <c r="C16" s="26">
        <v>0</v>
      </c>
      <c r="D16" s="39">
        <f>-E16+C16</f>
        <v>0</v>
      </c>
      <c r="E16" s="26">
        <v>0</v>
      </c>
      <c r="F16" s="91"/>
      <c r="G16" s="26">
        <v>35382.76</v>
      </c>
      <c r="H16" s="39">
        <f>-I16+G16</f>
        <v>35382.76</v>
      </c>
      <c r="I16" s="26">
        <v>0</v>
      </c>
    </row>
    <row r="17" spans="1:9">
      <c r="A17" s="93" t="s">
        <v>26</v>
      </c>
      <c r="B17" s="54" t="s">
        <v>27</v>
      </c>
      <c r="C17" s="26">
        <v>0</v>
      </c>
      <c r="D17" s="39">
        <f>-E17+C17</f>
        <v>0</v>
      </c>
      <c r="E17" s="26">
        <v>0</v>
      </c>
      <c r="F17" s="91"/>
      <c r="G17" s="26">
        <v>0</v>
      </c>
      <c r="H17" s="39">
        <f>-I17+G17</f>
        <v>-15000</v>
      </c>
      <c r="I17" s="26">
        <v>15000</v>
      </c>
    </row>
    <row r="18" spans="1:9">
      <c r="A18" s="27" t="s">
        <v>28</v>
      </c>
      <c r="B18" s="16" t="s">
        <v>336</v>
      </c>
      <c r="C18" s="17">
        <f>SUM(C19:C24)</f>
        <v>17008.52</v>
      </c>
      <c r="D18" s="18">
        <f>SUM(D19:D24)</f>
        <v>-19908.71</v>
      </c>
      <c r="E18" s="17">
        <f>SUM(E19:E24)</f>
        <v>36917.230000000003</v>
      </c>
      <c r="F18" s="91"/>
      <c r="G18" s="17">
        <f>SUM(G19:G24)</f>
        <v>15000</v>
      </c>
      <c r="H18" s="18">
        <f>SUM(H19:H24)</f>
        <v>-56000</v>
      </c>
      <c r="I18" s="17">
        <f>SUM(I19:I24)</f>
        <v>71000</v>
      </c>
    </row>
    <row r="19" spans="1:9">
      <c r="A19" s="25" t="s">
        <v>29</v>
      </c>
      <c r="B19" s="20" t="s">
        <v>924</v>
      </c>
      <c r="C19" s="96">
        <v>16753.84</v>
      </c>
      <c r="D19" s="97">
        <f t="shared" ref="D19:D24" si="0">-E19+C19</f>
        <v>16698.91</v>
      </c>
      <c r="E19" s="96">
        <v>54.93</v>
      </c>
      <c r="F19" s="91"/>
      <c r="G19" s="96">
        <v>15000</v>
      </c>
      <c r="H19" s="97">
        <f t="shared" ref="H19:H24" si="1">-I19+G19</f>
        <v>15000</v>
      </c>
      <c r="I19" s="96">
        <v>0</v>
      </c>
    </row>
    <row r="20" spans="1:9">
      <c r="A20" s="25" t="s">
        <v>30</v>
      </c>
      <c r="B20" s="20" t="s">
        <v>925</v>
      </c>
      <c r="C20" s="22">
        <v>254.68</v>
      </c>
      <c r="D20" s="21">
        <f t="shared" si="0"/>
        <v>-23446.3</v>
      </c>
      <c r="E20" s="26">
        <v>23700.98</v>
      </c>
      <c r="F20" s="91"/>
      <c r="G20" s="22">
        <v>0</v>
      </c>
      <c r="H20" s="21">
        <f t="shared" si="1"/>
        <v>-70000</v>
      </c>
      <c r="I20" s="26">
        <v>70000</v>
      </c>
    </row>
    <row r="21" spans="1:9">
      <c r="A21" s="93" t="s">
        <v>31</v>
      </c>
      <c r="B21" s="54" t="s">
        <v>415</v>
      </c>
      <c r="C21" s="22">
        <v>0</v>
      </c>
      <c r="D21" s="21">
        <f t="shared" si="0"/>
        <v>-13126.34</v>
      </c>
      <c r="E21" s="26">
        <v>13126.34</v>
      </c>
      <c r="F21" s="91"/>
      <c r="G21" s="22">
        <v>0</v>
      </c>
      <c r="H21" s="21">
        <f t="shared" si="1"/>
        <v>0</v>
      </c>
      <c r="I21" s="26">
        <v>0</v>
      </c>
    </row>
    <row r="22" spans="1:9">
      <c r="A22" s="45" t="s">
        <v>33</v>
      </c>
      <c r="B22" s="46" t="s">
        <v>32</v>
      </c>
      <c r="C22" s="47">
        <v>0</v>
      </c>
      <c r="D22" s="48">
        <f t="shared" si="0"/>
        <v>0</v>
      </c>
      <c r="E22" s="126">
        <v>0</v>
      </c>
      <c r="F22" s="91"/>
      <c r="G22" s="47">
        <v>0</v>
      </c>
      <c r="H22" s="48">
        <f t="shared" si="1"/>
        <v>0</v>
      </c>
      <c r="I22" s="126">
        <v>0</v>
      </c>
    </row>
    <row r="23" spans="1:9">
      <c r="A23" s="45" t="s">
        <v>334</v>
      </c>
      <c r="B23" s="46" t="s">
        <v>333</v>
      </c>
      <c r="C23" s="47">
        <v>0</v>
      </c>
      <c r="D23" s="48">
        <f t="shared" si="0"/>
        <v>0</v>
      </c>
      <c r="E23" s="126">
        <v>0</v>
      </c>
      <c r="F23" s="91"/>
      <c r="G23" s="47">
        <v>0</v>
      </c>
      <c r="H23" s="48">
        <f t="shared" si="1"/>
        <v>0</v>
      </c>
      <c r="I23" s="126">
        <v>0</v>
      </c>
    </row>
    <row r="24" spans="1:9">
      <c r="A24" s="25" t="s">
        <v>335</v>
      </c>
      <c r="B24" s="20" t="s">
        <v>17</v>
      </c>
      <c r="C24" s="22">
        <v>0</v>
      </c>
      <c r="D24" s="21">
        <f t="shared" si="0"/>
        <v>-34.979999999999997</v>
      </c>
      <c r="E24" s="26">
        <v>34.979999999999997</v>
      </c>
      <c r="F24" s="91"/>
      <c r="G24" s="22">
        <v>0</v>
      </c>
      <c r="H24" s="21">
        <f t="shared" si="1"/>
        <v>-1000</v>
      </c>
      <c r="I24" s="26">
        <v>1000</v>
      </c>
    </row>
    <row r="25" spans="1:9">
      <c r="A25" s="27" t="s">
        <v>34</v>
      </c>
      <c r="B25" s="16" t="s">
        <v>35</v>
      </c>
      <c r="C25" s="17">
        <f>SUM(C26:C27)</f>
        <v>0</v>
      </c>
      <c r="D25" s="18">
        <f>SUM(D26:D27)</f>
        <v>0</v>
      </c>
      <c r="E25" s="17">
        <f>SUM(E26:E27)</f>
        <v>0</v>
      </c>
      <c r="F25" s="91"/>
      <c r="G25" s="17">
        <f>SUM(G26:G27)</f>
        <v>0</v>
      </c>
      <c r="H25" s="18">
        <f>SUM(H26:H27)</f>
        <v>0</v>
      </c>
      <c r="I25" s="17">
        <f>SUM(I26:I27)</f>
        <v>0</v>
      </c>
    </row>
    <row r="26" spans="1:9">
      <c r="A26" s="28" t="s">
        <v>926</v>
      </c>
      <c r="B26" s="29" t="s">
        <v>37</v>
      </c>
      <c r="C26" s="26">
        <v>0</v>
      </c>
      <c r="D26" s="21">
        <f>-E26+C26</f>
        <v>0</v>
      </c>
      <c r="E26" s="22">
        <v>0</v>
      </c>
      <c r="F26" s="91"/>
      <c r="G26" s="26">
        <v>0</v>
      </c>
      <c r="H26" s="21">
        <f>-I26+G26</f>
        <v>0</v>
      </c>
      <c r="I26" s="22">
        <v>0</v>
      </c>
    </row>
    <row r="27" spans="1:9">
      <c r="A27" s="25" t="s">
        <v>927</v>
      </c>
      <c r="B27" s="20" t="s">
        <v>39</v>
      </c>
      <c r="C27" s="26">
        <v>0</v>
      </c>
      <c r="D27" s="21">
        <f>-E27+C27</f>
        <v>0</v>
      </c>
      <c r="E27" s="22">
        <v>0</v>
      </c>
      <c r="F27" s="91"/>
      <c r="G27" s="26">
        <v>0</v>
      </c>
      <c r="H27" s="21">
        <f>-I27+G27</f>
        <v>0</v>
      </c>
      <c r="I27" s="22">
        <v>0</v>
      </c>
    </row>
    <row r="28" spans="1:9">
      <c r="A28" s="27" t="s">
        <v>40</v>
      </c>
      <c r="B28" s="16" t="s">
        <v>41</v>
      </c>
      <c r="C28" s="17">
        <f>SUM(C29:C30)</f>
        <v>46558.74</v>
      </c>
      <c r="D28" s="18">
        <f>SUM(D29:D30)</f>
        <v>-151250.68000000002</v>
      </c>
      <c r="E28" s="17">
        <f>SUM(E29:E30)</f>
        <v>197809.42</v>
      </c>
      <c r="F28" s="91"/>
      <c r="G28" s="17">
        <f>SUM(G29:G30)</f>
        <v>252497.83</v>
      </c>
      <c r="H28" s="18">
        <f>SUM(H29:H30)</f>
        <v>252497.83</v>
      </c>
      <c r="I28" s="17">
        <f>SUM(I29:I30)</f>
        <v>0</v>
      </c>
    </row>
    <row r="29" spans="1:9">
      <c r="A29" s="132" t="s">
        <v>42</v>
      </c>
      <c r="B29" s="133" t="s">
        <v>43</v>
      </c>
      <c r="C29" s="150">
        <v>46558.74</v>
      </c>
      <c r="D29" s="39">
        <f>-E29+C29</f>
        <v>46558.74</v>
      </c>
      <c r="E29" s="26">
        <v>0</v>
      </c>
      <c r="F29" s="91"/>
      <c r="G29" s="150">
        <v>47486.25</v>
      </c>
      <c r="H29" s="39">
        <f>-I29+G29</f>
        <v>47486.25</v>
      </c>
      <c r="I29" s="26">
        <v>0</v>
      </c>
    </row>
    <row r="30" spans="1:9">
      <c r="A30" s="132" t="s">
        <v>44</v>
      </c>
      <c r="B30" s="133" t="s">
        <v>45</v>
      </c>
      <c r="C30" s="26">
        <v>0</v>
      </c>
      <c r="D30" s="39">
        <f>-E30+C30</f>
        <v>-197809.42</v>
      </c>
      <c r="E30" s="26">
        <v>197809.42</v>
      </c>
      <c r="F30" s="91"/>
      <c r="G30" s="26">
        <v>205011.58</v>
      </c>
      <c r="H30" s="39">
        <f>-I30+G30</f>
        <v>205011.58</v>
      </c>
      <c r="I30" s="26">
        <v>0</v>
      </c>
    </row>
    <row r="31" spans="1:9" ht="21">
      <c r="A31" s="32" t="s">
        <v>46</v>
      </c>
      <c r="B31" s="33" t="s">
        <v>47</v>
      </c>
      <c r="C31" s="34">
        <f>SUM(C32,C37,C42,C47,C52,C57)</f>
        <v>395700.05000000005</v>
      </c>
      <c r="D31" s="35">
        <f>SUM(D32,D37,D42,D47,D52,D57)</f>
        <v>263994.12</v>
      </c>
      <c r="E31" s="34">
        <f>SUM(E32,E37,E42,E47,E52,E57)</f>
        <v>131705.93</v>
      </c>
      <c r="G31" s="34">
        <f>SUM(G32,G37,G42,G47,G52,G57)</f>
        <v>320000</v>
      </c>
      <c r="H31" s="35">
        <f>SUM(H32,H37,H42,H47,H52,H57)</f>
        <v>231825</v>
      </c>
      <c r="I31" s="34">
        <f>SUM(I32,I37,I42,I47,I52,I57)</f>
        <v>88175</v>
      </c>
    </row>
    <row r="32" spans="1:9">
      <c r="A32" s="27" t="s">
        <v>48</v>
      </c>
      <c r="B32" s="16" t="s">
        <v>49</v>
      </c>
      <c r="C32" s="17">
        <f>SUM(C33:C36)</f>
        <v>281805</v>
      </c>
      <c r="D32" s="18">
        <f>SUM(D33:D36)</f>
        <v>246806</v>
      </c>
      <c r="E32" s="17">
        <f>SUM(E33:E36)</f>
        <v>34999</v>
      </c>
      <c r="G32" s="17">
        <f>SUM(G33:G36)</f>
        <v>225000</v>
      </c>
      <c r="H32" s="18">
        <f>SUM(H33:H36)</f>
        <v>225000</v>
      </c>
      <c r="I32" s="17">
        <f>SUM(I33:I36)</f>
        <v>0</v>
      </c>
    </row>
    <row r="33" spans="1:9">
      <c r="A33" s="25" t="s">
        <v>50</v>
      </c>
      <c r="B33" s="20" t="s">
        <v>41</v>
      </c>
      <c r="C33" s="96">
        <v>150000</v>
      </c>
      <c r="D33" s="97">
        <f>-E33+C33</f>
        <v>150000</v>
      </c>
      <c r="E33" s="96">
        <v>0</v>
      </c>
      <c r="F33" s="91"/>
      <c r="G33" s="96">
        <v>150000</v>
      </c>
      <c r="H33" s="97">
        <f>-I33+G33</f>
        <v>150000</v>
      </c>
      <c r="I33" s="96">
        <v>0</v>
      </c>
    </row>
    <row r="34" spans="1:9">
      <c r="A34" s="25" t="s">
        <v>51</v>
      </c>
      <c r="B34" s="20" t="s">
        <v>52</v>
      </c>
      <c r="C34" s="96">
        <v>131805</v>
      </c>
      <c r="D34" s="97">
        <f>-E34+C34</f>
        <v>131805</v>
      </c>
      <c r="E34" s="96">
        <v>0</v>
      </c>
      <c r="F34" s="91"/>
      <c r="G34" s="96">
        <f>G3*7.5-G33</f>
        <v>75000</v>
      </c>
      <c r="H34" s="97">
        <f>-I34+G34</f>
        <v>75000</v>
      </c>
      <c r="I34" s="96">
        <v>0</v>
      </c>
    </row>
    <row r="35" spans="1:9">
      <c r="A35" s="36" t="s">
        <v>53</v>
      </c>
      <c r="B35" s="37" t="s">
        <v>54</v>
      </c>
      <c r="C35" s="96">
        <v>0</v>
      </c>
      <c r="D35" s="97">
        <f>-E35+C35</f>
        <v>0</v>
      </c>
      <c r="E35" s="96">
        <v>0</v>
      </c>
      <c r="F35" s="91"/>
      <c r="G35" s="96">
        <v>0</v>
      </c>
      <c r="H35" s="97">
        <f>-I35+G35</f>
        <v>0</v>
      </c>
      <c r="I35" s="96">
        <v>0</v>
      </c>
    </row>
    <row r="36" spans="1:9">
      <c r="A36" s="36" t="s">
        <v>55</v>
      </c>
      <c r="B36" s="37" t="s">
        <v>56</v>
      </c>
      <c r="C36" s="38">
        <v>0</v>
      </c>
      <c r="D36" s="21">
        <f>-E36+C36</f>
        <v>-34999</v>
      </c>
      <c r="E36" s="22">
        <v>34999</v>
      </c>
      <c r="F36" s="91"/>
      <c r="G36" s="38">
        <v>0</v>
      </c>
      <c r="H36" s="21">
        <f>-I36+G36</f>
        <v>0</v>
      </c>
      <c r="I36" s="22">
        <v>0</v>
      </c>
    </row>
    <row r="37" spans="1:9">
      <c r="A37" s="27" t="s">
        <v>57</v>
      </c>
      <c r="B37" s="16" t="s">
        <v>58</v>
      </c>
      <c r="C37" s="17">
        <f>SUM(C38:C41)</f>
        <v>26154.9</v>
      </c>
      <c r="D37" s="18">
        <f>SUM(D38:D41)</f>
        <v>0</v>
      </c>
      <c r="E37" s="17">
        <f>SUM(E38:E41)</f>
        <v>26154.9</v>
      </c>
      <c r="F37" s="91"/>
      <c r="G37" s="17">
        <f>SUM(G38:G41)</f>
        <v>33000</v>
      </c>
      <c r="H37" s="18">
        <f>SUM(H38:H41)</f>
        <v>0</v>
      </c>
      <c r="I37" s="17">
        <f>SUM(I38:I41)</f>
        <v>33000</v>
      </c>
    </row>
    <row r="38" spans="1:9">
      <c r="A38" s="25" t="s">
        <v>59</v>
      </c>
      <c r="B38" s="20" t="s">
        <v>41</v>
      </c>
      <c r="C38" s="96">
        <v>0</v>
      </c>
      <c r="D38" s="97">
        <f>-E38+C38</f>
        <v>0</v>
      </c>
      <c r="E38" s="96">
        <v>0</v>
      </c>
      <c r="F38" s="91"/>
      <c r="G38" s="96">
        <v>0</v>
      </c>
      <c r="H38" s="97">
        <f>-I38+G38</f>
        <v>0</v>
      </c>
      <c r="I38" s="96">
        <v>0</v>
      </c>
    </row>
    <row r="39" spans="1:9">
      <c r="A39" s="25" t="s">
        <v>60</v>
      </c>
      <c r="B39" s="20" t="s">
        <v>52</v>
      </c>
      <c r="C39" s="96">
        <v>26154.9</v>
      </c>
      <c r="D39" s="97">
        <f>-E39+C39</f>
        <v>0</v>
      </c>
      <c r="E39" s="96">
        <v>26154.9</v>
      </c>
      <c r="F39" s="91"/>
      <c r="G39" s="96">
        <f>G3*1.5-12000</f>
        <v>33000</v>
      </c>
      <c r="H39" s="97">
        <f>-I39+G39</f>
        <v>0</v>
      </c>
      <c r="I39" s="96">
        <f>G3*1.5-12000</f>
        <v>33000</v>
      </c>
    </row>
    <row r="40" spans="1:9">
      <c r="A40" s="25" t="s">
        <v>61</v>
      </c>
      <c r="B40" s="37" t="s">
        <v>54</v>
      </c>
      <c r="C40" s="96">
        <v>0</v>
      </c>
      <c r="D40" s="97">
        <f>-E40+C40</f>
        <v>0</v>
      </c>
      <c r="E40" s="96">
        <v>0</v>
      </c>
      <c r="F40" s="91"/>
      <c r="G40" s="96">
        <v>0</v>
      </c>
      <c r="H40" s="97">
        <f>-I40+G40</f>
        <v>0</v>
      </c>
      <c r="I40" s="96">
        <v>0</v>
      </c>
    </row>
    <row r="41" spans="1:9">
      <c r="A41" s="25" t="s">
        <v>62</v>
      </c>
      <c r="B41" s="37" t="s">
        <v>56</v>
      </c>
      <c r="C41" s="22">
        <v>0</v>
      </c>
      <c r="D41" s="21">
        <f>-E41+C41</f>
        <v>0</v>
      </c>
      <c r="E41" s="22">
        <v>0</v>
      </c>
      <c r="F41" s="91"/>
      <c r="G41" s="22">
        <v>0</v>
      </c>
      <c r="H41" s="21">
        <f>-I41+G41</f>
        <v>0</v>
      </c>
      <c r="I41" s="22">
        <v>0</v>
      </c>
    </row>
    <row r="42" spans="1:9">
      <c r="A42" s="23" t="s">
        <v>63</v>
      </c>
      <c r="B42" s="24" t="s">
        <v>64</v>
      </c>
      <c r="C42" s="17">
        <f>SUM(C43:C46)</f>
        <v>35148</v>
      </c>
      <c r="D42" s="18">
        <f>SUM(D43:D46)</f>
        <v>0</v>
      </c>
      <c r="E42" s="17">
        <f>SUM(E43:E46)</f>
        <v>35148</v>
      </c>
      <c r="F42" s="91"/>
      <c r="G42" s="17">
        <f>SUM(G43:G46)</f>
        <v>20000</v>
      </c>
      <c r="H42" s="18">
        <f>SUM(H43:H46)</f>
        <v>0</v>
      </c>
      <c r="I42" s="17">
        <f>SUM(I43:I46)</f>
        <v>20000</v>
      </c>
    </row>
    <row r="43" spans="1:9">
      <c r="A43" s="25" t="s">
        <v>65</v>
      </c>
      <c r="B43" s="20" t="s">
        <v>41</v>
      </c>
      <c r="C43" s="96">
        <v>0</v>
      </c>
      <c r="D43" s="97">
        <f>-E43+C43</f>
        <v>0</v>
      </c>
      <c r="E43" s="96">
        <v>0</v>
      </c>
      <c r="F43" s="91"/>
      <c r="G43" s="96">
        <v>0</v>
      </c>
      <c r="H43" s="97">
        <f>-I43+G43</f>
        <v>0</v>
      </c>
      <c r="I43" s="96">
        <v>0</v>
      </c>
    </row>
    <row r="44" spans="1:9">
      <c r="A44" s="25" t="s">
        <v>66</v>
      </c>
      <c r="B44" s="20" t="s">
        <v>52</v>
      </c>
      <c r="C44" s="96">
        <v>35148</v>
      </c>
      <c r="D44" s="97">
        <f>-E44+C44</f>
        <v>0</v>
      </c>
      <c r="E44" s="96">
        <v>35148</v>
      </c>
      <c r="F44" s="91"/>
      <c r="G44" s="96">
        <f>G3*2-40000</f>
        <v>20000</v>
      </c>
      <c r="H44" s="97">
        <f>-I44+G44</f>
        <v>0</v>
      </c>
      <c r="I44" s="96">
        <f>G3*2-40000</f>
        <v>20000</v>
      </c>
    </row>
    <row r="45" spans="1:9">
      <c r="A45" s="25" t="s">
        <v>67</v>
      </c>
      <c r="B45" s="37" t="s">
        <v>54</v>
      </c>
      <c r="C45" s="96">
        <v>0</v>
      </c>
      <c r="D45" s="97">
        <f>-E45+C45</f>
        <v>0</v>
      </c>
      <c r="E45" s="96">
        <v>0</v>
      </c>
      <c r="F45" s="91"/>
      <c r="G45" s="96">
        <v>0</v>
      </c>
      <c r="H45" s="97">
        <f>-I45+G45</f>
        <v>0</v>
      </c>
      <c r="I45" s="96">
        <v>0</v>
      </c>
    </row>
    <row r="46" spans="1:9">
      <c r="A46" s="25" t="s">
        <v>68</v>
      </c>
      <c r="B46" s="37" t="s">
        <v>56</v>
      </c>
      <c r="C46" s="22">
        <v>0</v>
      </c>
      <c r="D46" s="21">
        <f>-E46+C46</f>
        <v>0</v>
      </c>
      <c r="E46" s="22">
        <v>0</v>
      </c>
      <c r="F46" s="91"/>
      <c r="G46" s="22">
        <v>0</v>
      </c>
      <c r="H46" s="21">
        <f>-I46+G46</f>
        <v>0</v>
      </c>
      <c r="I46" s="22">
        <v>0</v>
      </c>
    </row>
    <row r="47" spans="1:9">
      <c r="A47" s="27" t="s">
        <v>69</v>
      </c>
      <c r="B47" s="16" t="s">
        <v>70</v>
      </c>
      <c r="C47" s="17">
        <f>SUM(C48:C51)</f>
        <v>0</v>
      </c>
      <c r="D47" s="18">
        <f>SUM(D48:D51)</f>
        <v>0</v>
      </c>
      <c r="E47" s="17">
        <f>SUM(E48:E51)</f>
        <v>0</v>
      </c>
      <c r="F47" s="91"/>
      <c r="G47" s="17">
        <f>SUM(G48:G51)</f>
        <v>0</v>
      </c>
      <c r="H47" s="18">
        <f>SUM(H48:H51)</f>
        <v>0</v>
      </c>
      <c r="I47" s="17">
        <f>SUM(I48:I51)</f>
        <v>0</v>
      </c>
    </row>
    <row r="48" spans="1:9">
      <c r="A48" s="25" t="s">
        <v>71</v>
      </c>
      <c r="B48" s="20" t="s">
        <v>41</v>
      </c>
      <c r="C48" s="22">
        <v>0</v>
      </c>
      <c r="D48" s="21">
        <f>-E48+C48</f>
        <v>0</v>
      </c>
      <c r="E48" s="22">
        <v>0</v>
      </c>
      <c r="F48" s="91"/>
      <c r="G48" s="22">
        <v>0</v>
      </c>
      <c r="H48" s="21">
        <f>-I48+G48</f>
        <v>0</v>
      </c>
      <c r="I48" s="22">
        <v>0</v>
      </c>
    </row>
    <row r="49" spans="1:9">
      <c r="A49" s="25" t="s">
        <v>72</v>
      </c>
      <c r="B49" s="20" t="s">
        <v>52</v>
      </c>
      <c r="C49" s="26">
        <v>0</v>
      </c>
      <c r="D49" s="21">
        <f>-E49+C49</f>
        <v>0</v>
      </c>
      <c r="E49" s="22">
        <v>0</v>
      </c>
      <c r="F49" s="91"/>
      <c r="G49" s="26">
        <v>0</v>
      </c>
      <c r="H49" s="21">
        <f>-I49+G49</f>
        <v>0</v>
      </c>
      <c r="I49" s="22">
        <v>0</v>
      </c>
    </row>
    <row r="50" spans="1:9">
      <c r="A50" s="25" t="s">
        <v>73</v>
      </c>
      <c r="B50" s="20" t="s">
        <v>54</v>
      </c>
      <c r="C50" s="22">
        <v>0</v>
      </c>
      <c r="D50" s="21">
        <f>-E50+C50</f>
        <v>0</v>
      </c>
      <c r="E50" s="22">
        <v>0</v>
      </c>
      <c r="F50" s="91"/>
      <c r="G50" s="22">
        <v>0</v>
      </c>
      <c r="H50" s="21">
        <f>-I50+G50</f>
        <v>0</v>
      </c>
      <c r="I50" s="22">
        <v>0</v>
      </c>
    </row>
    <row r="51" spans="1:9">
      <c r="A51" s="25" t="s">
        <v>74</v>
      </c>
      <c r="B51" s="20" t="s">
        <v>56</v>
      </c>
      <c r="C51" s="22">
        <v>0</v>
      </c>
      <c r="D51" s="21">
        <f>-E51+C51</f>
        <v>0</v>
      </c>
      <c r="E51" s="22">
        <v>0</v>
      </c>
      <c r="F51" s="91"/>
      <c r="G51" s="22">
        <v>0</v>
      </c>
      <c r="H51" s="21">
        <f>-I51+G51</f>
        <v>0</v>
      </c>
      <c r="I51" s="22">
        <v>0</v>
      </c>
    </row>
    <row r="52" spans="1:9">
      <c r="A52" s="27" t="s">
        <v>75</v>
      </c>
      <c r="B52" s="16" t="s">
        <v>76</v>
      </c>
      <c r="C52" s="17">
        <f>SUM(C53:C56)</f>
        <v>15018.15</v>
      </c>
      <c r="D52" s="18">
        <f>SUM(D53:D56)</f>
        <v>15018.15</v>
      </c>
      <c r="E52" s="17">
        <f>SUM(E53:E56)</f>
        <v>0</v>
      </c>
      <c r="F52" s="91"/>
      <c r="G52" s="17">
        <f>SUM(G53:G56)</f>
        <v>12000</v>
      </c>
      <c r="H52" s="18">
        <f>SUM(H53:H56)</f>
        <v>12000</v>
      </c>
      <c r="I52" s="17">
        <f>SUM(I53:I56)</f>
        <v>0</v>
      </c>
    </row>
    <row r="53" spans="1:9">
      <c r="A53" s="25" t="s">
        <v>77</v>
      </c>
      <c r="B53" s="20" t="s">
        <v>41</v>
      </c>
      <c r="C53" s="26">
        <v>8000</v>
      </c>
      <c r="D53" s="21">
        <f>-E53+C53</f>
        <v>8000</v>
      </c>
      <c r="E53" s="22">
        <v>0</v>
      </c>
      <c r="F53" s="91"/>
      <c r="G53" s="26">
        <v>8000</v>
      </c>
      <c r="H53" s="21">
        <f>-I53+G53</f>
        <v>8000</v>
      </c>
      <c r="I53" s="22">
        <v>0</v>
      </c>
    </row>
    <row r="54" spans="1:9">
      <c r="A54" s="25" t="s">
        <v>78</v>
      </c>
      <c r="B54" s="20" t="s">
        <v>52</v>
      </c>
      <c r="C54" s="96">
        <v>7018.15</v>
      </c>
      <c r="D54" s="21">
        <f>-E54+C54</f>
        <v>7018.15</v>
      </c>
      <c r="E54" s="22">
        <v>0</v>
      </c>
      <c r="F54" s="91"/>
      <c r="G54" s="96">
        <f>G3*0.4-G53</f>
        <v>4000</v>
      </c>
      <c r="H54" s="21">
        <f>-I54+G54</f>
        <v>4000</v>
      </c>
      <c r="I54" s="22">
        <v>0</v>
      </c>
    </row>
    <row r="55" spans="1:9">
      <c r="A55" s="36" t="s">
        <v>79</v>
      </c>
      <c r="B55" s="37" t="s">
        <v>54</v>
      </c>
      <c r="C55" s="98">
        <v>0</v>
      </c>
      <c r="D55" s="21">
        <f>-E55+C55</f>
        <v>0</v>
      </c>
      <c r="E55" s="22">
        <v>0</v>
      </c>
      <c r="F55" s="91"/>
      <c r="G55" s="98">
        <v>0</v>
      </c>
      <c r="H55" s="21">
        <f>-I55+G55</f>
        <v>0</v>
      </c>
      <c r="I55" s="22">
        <v>0</v>
      </c>
    </row>
    <row r="56" spans="1:9">
      <c r="A56" s="36" t="s">
        <v>80</v>
      </c>
      <c r="B56" s="37" t="s">
        <v>56</v>
      </c>
      <c r="C56" s="38">
        <v>0</v>
      </c>
      <c r="D56" s="21">
        <f>-E56+C56</f>
        <v>0</v>
      </c>
      <c r="E56" s="38">
        <v>0</v>
      </c>
      <c r="F56" s="91"/>
      <c r="G56" s="38">
        <v>0</v>
      </c>
      <c r="H56" s="21">
        <f>-I56+G56</f>
        <v>0</v>
      </c>
      <c r="I56" s="38">
        <v>0</v>
      </c>
    </row>
    <row r="57" spans="1:9">
      <c r="A57" s="27" t="s">
        <v>81</v>
      </c>
      <c r="B57" s="16" t="s">
        <v>82</v>
      </c>
      <c r="C57" s="17">
        <f>SUM(C58:C61)</f>
        <v>37574</v>
      </c>
      <c r="D57" s="18">
        <f>SUM(D58:D61)</f>
        <v>2169.9700000000012</v>
      </c>
      <c r="E57" s="17">
        <f>SUM(E58:E61)</f>
        <v>35404.03</v>
      </c>
      <c r="F57" s="91"/>
      <c r="G57" s="17">
        <f>SUM(G58:G61)</f>
        <v>30000</v>
      </c>
      <c r="H57" s="18">
        <f>SUM(H58:H61)</f>
        <v>-5175</v>
      </c>
      <c r="I57" s="17">
        <f>SUM(I58:I61)</f>
        <v>35175</v>
      </c>
    </row>
    <row r="58" spans="1:9">
      <c r="A58" s="25" t="s">
        <v>83</v>
      </c>
      <c r="B58" s="20" t="s">
        <v>41</v>
      </c>
      <c r="C58" s="96">
        <v>20000</v>
      </c>
      <c r="D58" s="97">
        <f>-E58+C58</f>
        <v>20000</v>
      </c>
      <c r="E58" s="96">
        <f>C60</f>
        <v>0</v>
      </c>
      <c r="F58" s="91"/>
      <c r="G58" s="96">
        <v>20000</v>
      </c>
      <c r="H58" s="97">
        <f>-I58+G58</f>
        <v>20000</v>
      </c>
      <c r="I58" s="96">
        <f>G60</f>
        <v>0</v>
      </c>
    </row>
    <row r="59" spans="1:9">
      <c r="A59" s="25" t="s">
        <v>84</v>
      </c>
      <c r="B59" s="20" t="s">
        <v>52</v>
      </c>
      <c r="C59" s="96">
        <v>17574</v>
      </c>
      <c r="D59" s="97">
        <f>-E59+C59</f>
        <v>-17830.03</v>
      </c>
      <c r="E59" s="26">
        <v>35404.03</v>
      </c>
      <c r="F59" s="91"/>
      <c r="G59" s="96">
        <f>G3*1-G58</f>
        <v>10000</v>
      </c>
      <c r="H59" s="97">
        <f>-I59+G59</f>
        <v>-25175</v>
      </c>
      <c r="I59" s="26">
        <v>35175</v>
      </c>
    </row>
    <row r="60" spans="1:9">
      <c r="A60" s="36" t="s">
        <v>85</v>
      </c>
      <c r="B60" s="37" t="s">
        <v>54</v>
      </c>
      <c r="C60" s="98">
        <v>0</v>
      </c>
      <c r="D60" s="97">
        <f>-E60+C60</f>
        <v>0</v>
      </c>
      <c r="E60" s="96">
        <v>0</v>
      </c>
      <c r="F60" s="91"/>
      <c r="G60" s="98">
        <v>0</v>
      </c>
      <c r="H60" s="97">
        <f>-I60+G60</f>
        <v>0</v>
      </c>
      <c r="I60" s="96">
        <v>0</v>
      </c>
    </row>
    <row r="61" spans="1:9">
      <c r="A61" s="36" t="s">
        <v>86</v>
      </c>
      <c r="B61" s="37" t="s">
        <v>56</v>
      </c>
      <c r="C61" s="38">
        <v>0</v>
      </c>
      <c r="D61" s="21">
        <f>-E61+C61</f>
        <v>0</v>
      </c>
      <c r="E61" s="22">
        <v>0</v>
      </c>
      <c r="F61" s="91"/>
      <c r="G61" s="38">
        <v>0</v>
      </c>
      <c r="H61" s="21">
        <f>-I61+G61</f>
        <v>0</v>
      </c>
      <c r="I61" s="22">
        <v>0</v>
      </c>
    </row>
    <row r="62" spans="1:9" ht="21">
      <c r="A62" s="32" t="s">
        <v>87</v>
      </c>
      <c r="B62" s="33" t="s">
        <v>88</v>
      </c>
      <c r="C62" s="40">
        <f>SUM(C63,C65,C68)</f>
        <v>410</v>
      </c>
      <c r="D62" s="41">
        <f>SUM(D63,D65,D68)</f>
        <v>-8675.7999999999993</v>
      </c>
      <c r="E62" s="42">
        <f>SUM(E63,E65,E68)</f>
        <v>9085.7999999999993</v>
      </c>
      <c r="G62" s="40">
        <f>SUM(G63,G65,G68)</f>
        <v>0</v>
      </c>
      <c r="H62" s="41">
        <f>SUM(H63,H65,H68)</f>
        <v>-63499.500000000007</v>
      </c>
      <c r="I62" s="42">
        <f>SUM(I63,I65,I68)</f>
        <v>63499.500000000007</v>
      </c>
    </row>
    <row r="63" spans="1:9">
      <c r="A63" s="27" t="s">
        <v>89</v>
      </c>
      <c r="B63" s="16" t="s">
        <v>90</v>
      </c>
      <c r="C63" s="43">
        <f>SUM(C64)</f>
        <v>410</v>
      </c>
      <c r="D63" s="44">
        <f>SUM(D64)</f>
        <v>-1540</v>
      </c>
      <c r="E63" s="43">
        <f>SUM(E64)</f>
        <v>1950</v>
      </c>
      <c r="G63" s="43">
        <f>SUM(G64)</f>
        <v>0</v>
      </c>
      <c r="H63" s="44">
        <f>SUM(H64)</f>
        <v>-43192.600000000006</v>
      </c>
      <c r="I63" s="43">
        <f>SUM(I64)</f>
        <v>43192.600000000006</v>
      </c>
    </row>
    <row r="64" spans="1:9">
      <c r="A64" s="25" t="s">
        <v>91</v>
      </c>
      <c r="B64" s="20" t="s">
        <v>90</v>
      </c>
      <c r="C64" s="22">
        <v>410</v>
      </c>
      <c r="D64" s="39">
        <f>-E64+C64</f>
        <v>-1540</v>
      </c>
      <c r="E64" s="26">
        <v>1950</v>
      </c>
      <c r="F64" s="91"/>
      <c r="G64" s="22">
        <v>0</v>
      </c>
      <c r="H64" s="39">
        <f>-I64+G64</f>
        <v>-43192.600000000006</v>
      </c>
      <c r="I64" s="26">
        <f>G16+7809.84</f>
        <v>43192.600000000006</v>
      </c>
    </row>
    <row r="65" spans="1:9">
      <c r="A65" s="27" t="s">
        <v>92</v>
      </c>
      <c r="B65" s="16" t="s">
        <v>93</v>
      </c>
      <c r="C65" s="17">
        <f>SUM(C66:C67)</f>
        <v>0</v>
      </c>
      <c r="D65" s="44">
        <f>SUM(D66:D67)</f>
        <v>0</v>
      </c>
      <c r="E65" s="17">
        <f>SUM(E66:E67)</f>
        <v>0</v>
      </c>
      <c r="F65" s="91"/>
      <c r="G65" s="17">
        <f>SUM(G66:G67)</f>
        <v>0</v>
      </c>
      <c r="H65" s="44">
        <f>SUM(H66:H67)</f>
        <v>-1000</v>
      </c>
      <c r="I65" s="17">
        <f>SUM(I66:I67)</f>
        <v>1000</v>
      </c>
    </row>
    <row r="66" spans="1:9">
      <c r="A66" s="25" t="s">
        <v>94</v>
      </c>
      <c r="B66" s="20" t="s">
        <v>522</v>
      </c>
      <c r="C66" s="22">
        <v>0</v>
      </c>
      <c r="D66" s="21">
        <f>-E66+C66</f>
        <v>0</v>
      </c>
      <c r="E66" s="26">
        <v>0</v>
      </c>
      <c r="F66" s="91"/>
      <c r="G66" s="22">
        <v>0</v>
      </c>
      <c r="H66" s="21">
        <f>-I66+G66</f>
        <v>-1000</v>
      </c>
      <c r="I66" s="26">
        <v>1000</v>
      </c>
    </row>
    <row r="67" spans="1:9">
      <c r="A67" s="45" t="s">
        <v>96</v>
      </c>
      <c r="B67" s="46" t="s">
        <v>97</v>
      </c>
      <c r="C67" s="22">
        <v>0</v>
      </c>
      <c r="D67" s="21">
        <f>-E67+C67</f>
        <v>0</v>
      </c>
      <c r="E67" s="26">
        <v>0</v>
      </c>
      <c r="F67" s="91"/>
      <c r="G67" s="22">
        <v>0</v>
      </c>
      <c r="H67" s="21">
        <f>-I67+G67</f>
        <v>0</v>
      </c>
      <c r="I67" s="26">
        <v>0</v>
      </c>
    </row>
    <row r="68" spans="1:9">
      <c r="A68" s="27" t="s">
        <v>98</v>
      </c>
      <c r="B68" s="16" t="s">
        <v>99</v>
      </c>
      <c r="C68" s="43">
        <f>SUM(C69)</f>
        <v>0</v>
      </c>
      <c r="D68" s="49">
        <f>SUM(D69)</f>
        <v>-7135.8</v>
      </c>
      <c r="E68" s="43">
        <f>SUM(E69)</f>
        <v>7135.8</v>
      </c>
      <c r="F68" s="91"/>
      <c r="G68" s="43">
        <f>SUM(G69)</f>
        <v>0</v>
      </c>
      <c r="H68" s="49">
        <f>SUM(H69)</f>
        <v>-19306.900000000001</v>
      </c>
      <c r="I68" s="43">
        <f>SUM(I69)</f>
        <v>19306.900000000001</v>
      </c>
    </row>
    <row r="69" spans="1:9">
      <c r="A69" s="25" t="s">
        <v>100</v>
      </c>
      <c r="B69" s="20" t="s">
        <v>99</v>
      </c>
      <c r="C69" s="22">
        <v>0</v>
      </c>
      <c r="D69" s="21">
        <f>-E69+C69</f>
        <v>-7135.8</v>
      </c>
      <c r="E69" s="26">
        <v>7135.8</v>
      </c>
      <c r="F69" s="91"/>
      <c r="G69" s="22">
        <v>0</v>
      </c>
      <c r="H69" s="21">
        <f>-I69+G69</f>
        <v>-19306.900000000001</v>
      </c>
      <c r="I69" s="26">
        <f>G53+G54+G55+7306.9</f>
        <v>19306.900000000001</v>
      </c>
    </row>
    <row r="70" spans="1:9" ht="21">
      <c r="A70" s="32" t="s">
        <v>101</v>
      </c>
      <c r="B70" s="33" t="s">
        <v>102</v>
      </c>
      <c r="C70" s="34">
        <f>SUM(C71,C73,C75,C80,C87,C94,C103,C101)</f>
        <v>4489.6000000000004</v>
      </c>
      <c r="D70" s="50">
        <f>SUM(D71,D73,D75,D80,D87,D94,D103,D101)</f>
        <v>-26265.56</v>
      </c>
      <c r="E70" s="34">
        <f>SUM(E71,E73,E75,E80,E87,E94,E103)</f>
        <v>30755.16</v>
      </c>
      <c r="F70" s="91"/>
      <c r="G70" s="34">
        <f>SUM(G71,G73,G75,G80,G87,G94,G103)</f>
        <v>500</v>
      </c>
      <c r="H70" s="50">
        <f>SUM(H71,H73,H75,H80,H87,H94,H103)</f>
        <v>-69206.899999999994</v>
      </c>
      <c r="I70" s="34">
        <f>SUM(I71,I73,I75,I80,I87,I94,I103)</f>
        <v>69706.899999999994</v>
      </c>
    </row>
    <row r="71" spans="1:9">
      <c r="A71" s="27" t="s">
        <v>103</v>
      </c>
      <c r="B71" s="16" t="s">
        <v>104</v>
      </c>
      <c r="C71" s="43">
        <f>SUM(C72)</f>
        <v>0</v>
      </c>
      <c r="D71" s="18">
        <f>SUM(D72)</f>
        <v>-1105.28</v>
      </c>
      <c r="E71" s="43">
        <f>SUM(E72)</f>
        <v>1105.28</v>
      </c>
      <c r="F71" s="91"/>
      <c r="G71" s="43">
        <f>SUM(G72)</f>
        <v>0</v>
      </c>
      <c r="H71" s="18">
        <f>SUM(H72)</f>
        <v>-5000</v>
      </c>
      <c r="I71" s="43">
        <f>SUM(I72)</f>
        <v>5000</v>
      </c>
    </row>
    <row r="72" spans="1:9">
      <c r="A72" s="25" t="s">
        <v>105</v>
      </c>
      <c r="B72" s="20" t="s">
        <v>104</v>
      </c>
      <c r="C72" s="22">
        <v>0</v>
      </c>
      <c r="D72" s="21">
        <f>-E72+C72</f>
        <v>-1105.28</v>
      </c>
      <c r="E72" s="26">
        <v>1105.28</v>
      </c>
      <c r="F72" s="91"/>
      <c r="G72" s="22">
        <v>0</v>
      </c>
      <c r="H72" s="21">
        <f>-I72+G72</f>
        <v>-5000</v>
      </c>
      <c r="I72" s="26">
        <v>5000</v>
      </c>
    </row>
    <row r="73" spans="1:9">
      <c r="A73" s="27" t="s">
        <v>106</v>
      </c>
      <c r="B73" s="16" t="s">
        <v>107</v>
      </c>
      <c r="C73" s="43">
        <f>SUM(C74)</f>
        <v>0</v>
      </c>
      <c r="D73" s="18">
        <f>SUM(D74)</f>
        <v>-2277</v>
      </c>
      <c r="E73" s="43">
        <f>SUM(E74)</f>
        <v>2277</v>
      </c>
      <c r="F73" s="91"/>
      <c r="G73" s="43">
        <f>SUM(G74)</f>
        <v>0</v>
      </c>
      <c r="H73" s="18">
        <f>SUM(H74)</f>
        <v>-3300</v>
      </c>
      <c r="I73" s="43">
        <f>SUM(I74)</f>
        <v>3300</v>
      </c>
    </row>
    <row r="74" spans="1:9">
      <c r="A74" s="25" t="s">
        <v>108</v>
      </c>
      <c r="B74" s="20" t="s">
        <v>107</v>
      </c>
      <c r="C74" s="22">
        <v>0</v>
      </c>
      <c r="D74" s="21">
        <f>-E74+C74</f>
        <v>-2277</v>
      </c>
      <c r="E74" s="26">
        <v>2277</v>
      </c>
      <c r="F74" s="91"/>
      <c r="G74" s="22">
        <v>0</v>
      </c>
      <c r="H74" s="21">
        <f>-I74+G74</f>
        <v>-3300</v>
      </c>
      <c r="I74" s="26">
        <v>3300</v>
      </c>
    </row>
    <row r="75" spans="1:9">
      <c r="A75" s="51" t="s">
        <v>109</v>
      </c>
      <c r="B75" s="52" t="s">
        <v>110</v>
      </c>
      <c r="C75" s="43">
        <f>SUM(C76:C79)</f>
        <v>3450</v>
      </c>
      <c r="D75" s="18">
        <f>SUM(D76:D79)</f>
        <v>-10960.78</v>
      </c>
      <c r="E75" s="43">
        <f>SUM(E76:E79)</f>
        <v>14410.78</v>
      </c>
      <c r="F75" s="91"/>
      <c r="G75" s="43">
        <f>SUM(G76:G79)</f>
        <v>0</v>
      </c>
      <c r="H75" s="18">
        <f>SUM(H76:H79)</f>
        <v>-17335</v>
      </c>
      <c r="I75" s="43">
        <f>SUM(I76:I79)</f>
        <v>17335</v>
      </c>
    </row>
    <row r="76" spans="1:9">
      <c r="A76" s="25" t="s">
        <v>111</v>
      </c>
      <c r="B76" s="20" t="s">
        <v>928</v>
      </c>
      <c r="C76" s="26">
        <v>3450</v>
      </c>
      <c r="D76" s="21">
        <f>-E76+C76</f>
        <v>2300</v>
      </c>
      <c r="E76" s="22">
        <v>1150</v>
      </c>
      <c r="F76" s="91"/>
      <c r="G76" s="26">
        <v>0</v>
      </c>
      <c r="H76" s="21">
        <f>-I76+G76</f>
        <v>0</v>
      </c>
      <c r="I76" s="22">
        <v>0</v>
      </c>
    </row>
    <row r="77" spans="1:9">
      <c r="A77" s="25" t="s">
        <v>113</v>
      </c>
      <c r="B77" s="20" t="s">
        <v>114</v>
      </c>
      <c r="C77" s="22">
        <v>0</v>
      </c>
      <c r="D77" s="21">
        <f>-E77+C77</f>
        <v>-11340</v>
      </c>
      <c r="E77" s="26">
        <f>1260*3*3</f>
        <v>11340</v>
      </c>
      <c r="F77" s="91"/>
      <c r="G77" s="22">
        <v>0</v>
      </c>
      <c r="H77" s="21">
        <f>-I77+G77</f>
        <v>-11340</v>
      </c>
      <c r="I77" s="26">
        <f>1260*3*3</f>
        <v>11340</v>
      </c>
    </row>
    <row r="78" spans="1:9">
      <c r="A78" s="25" t="s">
        <v>115</v>
      </c>
      <c r="B78" s="20" t="s">
        <v>116</v>
      </c>
      <c r="C78" s="22">
        <v>0</v>
      </c>
      <c r="D78" s="21">
        <f>-E78+C78</f>
        <v>-100.78</v>
      </c>
      <c r="E78" s="26">
        <v>100.78</v>
      </c>
      <c r="F78" s="91"/>
      <c r="G78" s="22">
        <v>0</v>
      </c>
      <c r="H78" s="21">
        <f>-I78+G78</f>
        <v>-200</v>
      </c>
      <c r="I78" s="26">
        <v>200</v>
      </c>
    </row>
    <row r="79" spans="1:9">
      <c r="A79" s="25" t="s">
        <v>397</v>
      </c>
      <c r="B79" s="20" t="s">
        <v>398</v>
      </c>
      <c r="C79" s="22">
        <v>0</v>
      </c>
      <c r="D79" s="21">
        <f>-E79+C79</f>
        <v>-1820</v>
      </c>
      <c r="E79" s="26">
        <v>1820</v>
      </c>
      <c r="F79" s="91"/>
      <c r="G79" s="22">
        <v>0</v>
      </c>
      <c r="H79" s="21">
        <f>-I79+G79</f>
        <v>-5795</v>
      </c>
      <c r="I79" s="26">
        <f>1000+1350+1445+2000</f>
        <v>5795</v>
      </c>
    </row>
    <row r="80" spans="1:9">
      <c r="A80" s="65" t="s">
        <v>119</v>
      </c>
      <c r="B80" s="66" t="s">
        <v>120</v>
      </c>
      <c r="C80" s="86">
        <f>SUM(C81:C86)</f>
        <v>0</v>
      </c>
      <c r="D80" s="67">
        <f>SUM(D81:D86)</f>
        <v>0</v>
      </c>
      <c r="E80" s="86">
        <f>SUM(E81:E86)</f>
        <v>0</v>
      </c>
      <c r="F80" s="91"/>
      <c r="G80" s="86">
        <f>SUM(G81:G86)</f>
        <v>0</v>
      </c>
      <c r="H80" s="67">
        <f>SUM(H81:H86)</f>
        <v>0</v>
      </c>
      <c r="I80" s="86">
        <f>SUM(I81:I86)</f>
        <v>0</v>
      </c>
    </row>
    <row r="81" spans="1:9">
      <c r="A81" s="45" t="s">
        <v>121</v>
      </c>
      <c r="B81" s="46" t="s">
        <v>122</v>
      </c>
      <c r="C81" s="126">
        <v>0</v>
      </c>
      <c r="D81" s="48">
        <f t="shared" ref="D81:D86" si="2">-E81+C81</f>
        <v>0</v>
      </c>
      <c r="E81" s="126">
        <v>0</v>
      </c>
      <c r="F81" s="91"/>
      <c r="G81" s="126">
        <v>0</v>
      </c>
      <c r="H81" s="48">
        <f t="shared" ref="H81:H82" si="3">-I81+G81</f>
        <v>0</v>
      </c>
      <c r="I81" s="126">
        <v>0</v>
      </c>
    </row>
    <row r="82" spans="1:9">
      <c r="A82" s="45" t="s">
        <v>123</v>
      </c>
      <c r="B82" s="46" t="s">
        <v>124</v>
      </c>
      <c r="C82" s="126">
        <v>0</v>
      </c>
      <c r="D82" s="48">
        <f t="shared" si="2"/>
        <v>0</v>
      </c>
      <c r="E82" s="126">
        <v>0</v>
      </c>
      <c r="F82" s="91"/>
      <c r="G82" s="126">
        <v>0</v>
      </c>
      <c r="H82" s="48">
        <f t="shared" si="3"/>
        <v>0</v>
      </c>
      <c r="I82" s="126">
        <v>0</v>
      </c>
    </row>
    <row r="83" spans="1:9">
      <c r="A83" s="45" t="s">
        <v>125</v>
      </c>
      <c r="B83" s="46" t="s">
        <v>126</v>
      </c>
      <c r="C83" s="126">
        <v>0</v>
      </c>
      <c r="D83" s="48">
        <v>0</v>
      </c>
      <c r="E83" s="151">
        <v>0</v>
      </c>
      <c r="F83" s="91"/>
      <c r="G83" s="126">
        <v>0</v>
      </c>
      <c r="H83" s="48">
        <v>0</v>
      </c>
      <c r="I83" s="151">
        <v>0</v>
      </c>
    </row>
    <row r="84" spans="1:9">
      <c r="A84" s="45" t="s">
        <v>127</v>
      </c>
      <c r="B84" s="46" t="s">
        <v>128</v>
      </c>
      <c r="C84" s="126">
        <v>0</v>
      </c>
      <c r="D84" s="48">
        <f t="shared" si="2"/>
        <v>0</v>
      </c>
      <c r="E84" s="126">
        <v>0</v>
      </c>
      <c r="F84" s="91"/>
      <c r="G84" s="126">
        <v>0</v>
      </c>
      <c r="H84" s="48">
        <f t="shared" ref="H84:H86" si="4">-I84+G84</f>
        <v>0</v>
      </c>
      <c r="I84" s="126">
        <v>0</v>
      </c>
    </row>
    <row r="85" spans="1:9">
      <c r="A85" s="45" t="s">
        <v>129</v>
      </c>
      <c r="B85" s="46" t="s">
        <v>130</v>
      </c>
      <c r="C85" s="126">
        <v>0</v>
      </c>
      <c r="D85" s="48">
        <f t="shared" si="2"/>
        <v>0</v>
      </c>
      <c r="E85" s="126">
        <v>0</v>
      </c>
      <c r="F85" s="91"/>
      <c r="G85" s="126">
        <v>0</v>
      </c>
      <c r="H85" s="48">
        <f t="shared" si="4"/>
        <v>0</v>
      </c>
      <c r="I85" s="126">
        <v>0</v>
      </c>
    </row>
    <row r="86" spans="1:9">
      <c r="A86" s="45" t="s">
        <v>131</v>
      </c>
      <c r="B86" s="46" t="s">
        <v>132</v>
      </c>
      <c r="C86" s="126">
        <v>0</v>
      </c>
      <c r="D86" s="48">
        <f t="shared" si="2"/>
        <v>0</v>
      </c>
      <c r="E86" s="126">
        <v>0</v>
      </c>
      <c r="F86" s="91"/>
      <c r="G86" s="126">
        <v>0</v>
      </c>
      <c r="H86" s="48">
        <f t="shared" si="4"/>
        <v>0</v>
      </c>
      <c r="I86" s="126">
        <v>0</v>
      </c>
    </row>
    <row r="87" spans="1:9">
      <c r="A87" s="27" t="s">
        <v>133</v>
      </c>
      <c r="B87" s="53" t="s">
        <v>134</v>
      </c>
      <c r="C87" s="17">
        <f>SUM(C88:C93)</f>
        <v>686.38</v>
      </c>
      <c r="D87" s="18">
        <f>SUM(D88:D93)</f>
        <v>-10385.84</v>
      </c>
      <c r="E87" s="17">
        <f>SUM(E88:E93)</f>
        <v>11072.22</v>
      </c>
      <c r="F87" s="91"/>
      <c r="G87" s="17">
        <f>SUM(G88:G93)</f>
        <v>100</v>
      </c>
      <c r="H87" s="18">
        <f>SUM(H88:H93)</f>
        <v>-31971.9</v>
      </c>
      <c r="I87" s="17">
        <f>SUM(I88:I93)</f>
        <v>32071.9</v>
      </c>
    </row>
    <row r="88" spans="1:9">
      <c r="A88" s="25" t="s">
        <v>135</v>
      </c>
      <c r="B88" s="54" t="s">
        <v>136</v>
      </c>
      <c r="C88" s="22">
        <v>0</v>
      </c>
      <c r="D88" s="21">
        <f t="shared" ref="D88:D93" si="5">-E88+C88</f>
        <v>-823.7</v>
      </c>
      <c r="E88" s="26">
        <v>823.7</v>
      </c>
      <c r="F88" s="91"/>
      <c r="G88" s="22">
        <v>0</v>
      </c>
      <c r="H88" s="21">
        <f t="shared" ref="H88:H93" si="6">-I88+G88</f>
        <v>-10000</v>
      </c>
      <c r="I88" s="26">
        <v>10000</v>
      </c>
    </row>
    <row r="89" spans="1:9">
      <c r="A89" s="25" t="s">
        <v>137</v>
      </c>
      <c r="B89" s="54" t="s">
        <v>138</v>
      </c>
      <c r="C89" s="26">
        <v>0</v>
      </c>
      <c r="D89" s="21">
        <f t="shared" si="5"/>
        <v>-9161.6299999999992</v>
      </c>
      <c r="E89" s="26">
        <v>9161.6299999999992</v>
      </c>
      <c r="F89" s="91"/>
      <c r="G89" s="26">
        <v>0</v>
      </c>
      <c r="H89" s="21">
        <f t="shared" si="6"/>
        <v>-20671.900000000001</v>
      </c>
      <c r="I89" s="26">
        <v>20671.900000000001</v>
      </c>
    </row>
    <row r="90" spans="1:9">
      <c r="A90" s="93" t="s">
        <v>409</v>
      </c>
      <c r="B90" s="54" t="s">
        <v>431</v>
      </c>
      <c r="C90" s="26">
        <v>686.38</v>
      </c>
      <c r="D90" s="21">
        <f t="shared" si="5"/>
        <v>686.38</v>
      </c>
      <c r="E90" s="96">
        <v>0</v>
      </c>
      <c r="F90" s="91"/>
      <c r="G90" s="26">
        <v>100</v>
      </c>
      <c r="H90" s="21">
        <f t="shared" si="6"/>
        <v>100</v>
      </c>
      <c r="I90" s="96">
        <v>0</v>
      </c>
    </row>
    <row r="91" spans="1:9">
      <c r="A91" s="93" t="s">
        <v>409</v>
      </c>
      <c r="B91" s="54" t="s">
        <v>537</v>
      </c>
      <c r="C91" s="26">
        <v>0</v>
      </c>
      <c r="D91" s="21">
        <f t="shared" si="5"/>
        <v>-977.65</v>
      </c>
      <c r="E91" s="96">
        <v>977.65</v>
      </c>
      <c r="F91" s="91"/>
      <c r="G91" s="26">
        <v>0</v>
      </c>
      <c r="H91" s="21">
        <f t="shared" si="6"/>
        <v>-900</v>
      </c>
      <c r="I91" s="96">
        <v>900</v>
      </c>
    </row>
    <row r="92" spans="1:9">
      <c r="A92" s="93" t="s">
        <v>413</v>
      </c>
      <c r="B92" s="54" t="s">
        <v>414</v>
      </c>
      <c r="C92" s="26">
        <v>0</v>
      </c>
      <c r="D92" s="21">
        <f t="shared" si="5"/>
        <v>-109.24</v>
      </c>
      <c r="E92" s="26">
        <v>109.24</v>
      </c>
      <c r="F92" s="91"/>
      <c r="G92" s="26">
        <v>0</v>
      </c>
      <c r="H92" s="21">
        <f t="shared" si="6"/>
        <v>-500</v>
      </c>
      <c r="I92" s="26">
        <v>500</v>
      </c>
    </row>
    <row r="93" spans="1:9">
      <c r="A93" s="93" t="s">
        <v>421</v>
      </c>
      <c r="B93" s="54" t="s">
        <v>422</v>
      </c>
      <c r="C93" s="26">
        <v>0</v>
      </c>
      <c r="D93" s="21">
        <f t="shared" si="5"/>
        <v>0</v>
      </c>
      <c r="E93" s="26">
        <v>0</v>
      </c>
      <c r="F93" s="91"/>
      <c r="G93" s="26">
        <v>0</v>
      </c>
      <c r="H93" s="21">
        <f t="shared" si="6"/>
        <v>0</v>
      </c>
      <c r="I93" s="26">
        <v>0</v>
      </c>
    </row>
    <row r="94" spans="1:9">
      <c r="A94" s="27" t="s">
        <v>139</v>
      </c>
      <c r="B94" s="16" t="s">
        <v>140</v>
      </c>
      <c r="C94" s="17">
        <f>SUM(C95:C100)</f>
        <v>120.72</v>
      </c>
      <c r="D94" s="18">
        <f>SUM(D95:D100)</f>
        <v>-1769.1599999999999</v>
      </c>
      <c r="E94" s="17">
        <f>SUM(E95:E100)</f>
        <v>1889.88</v>
      </c>
      <c r="F94" s="91"/>
      <c r="G94" s="17">
        <f>SUM(G95:G100)</f>
        <v>0</v>
      </c>
      <c r="H94" s="18">
        <f>SUM(H95:H100)</f>
        <v>-12000</v>
      </c>
      <c r="I94" s="17">
        <f>SUM(I95:I100)</f>
        <v>12000</v>
      </c>
    </row>
    <row r="95" spans="1:9">
      <c r="A95" s="152" t="s">
        <v>141</v>
      </c>
      <c r="B95" s="153" t="s">
        <v>416</v>
      </c>
      <c r="C95" s="151">
        <v>0</v>
      </c>
      <c r="D95" s="48">
        <f t="shared" ref="D95:D100" si="7">-E95+C95</f>
        <v>0</v>
      </c>
      <c r="E95" s="47">
        <v>0</v>
      </c>
      <c r="F95" s="91"/>
      <c r="G95" s="151">
        <v>0</v>
      </c>
      <c r="H95" s="48">
        <f t="shared" ref="H95:H100" si="8">-I95+G95</f>
        <v>0</v>
      </c>
      <c r="I95" s="47">
        <v>0</v>
      </c>
    </row>
    <row r="96" spans="1:9">
      <c r="A96" s="25" t="s">
        <v>142</v>
      </c>
      <c r="B96" s="20" t="s">
        <v>122</v>
      </c>
      <c r="C96" s="26">
        <v>0</v>
      </c>
      <c r="D96" s="21">
        <f t="shared" si="7"/>
        <v>0</v>
      </c>
      <c r="E96" s="26">
        <v>0</v>
      </c>
      <c r="F96" s="91"/>
      <c r="G96" s="26">
        <v>0</v>
      </c>
      <c r="H96" s="21">
        <f t="shared" si="8"/>
        <v>0</v>
      </c>
      <c r="I96" s="26">
        <v>0</v>
      </c>
    </row>
    <row r="97" spans="1:9">
      <c r="A97" s="25" t="s">
        <v>143</v>
      </c>
      <c r="B97" s="20" t="s">
        <v>144</v>
      </c>
      <c r="C97" s="22">
        <v>0</v>
      </c>
      <c r="D97" s="21">
        <f t="shared" si="7"/>
        <v>0</v>
      </c>
      <c r="E97" s="22">
        <v>0</v>
      </c>
      <c r="F97" s="91"/>
      <c r="G97" s="22">
        <v>0</v>
      </c>
      <c r="H97" s="21">
        <f t="shared" si="8"/>
        <v>0</v>
      </c>
      <c r="I97" s="22">
        <v>0</v>
      </c>
    </row>
    <row r="98" spans="1:9">
      <c r="A98" s="25" t="s">
        <v>145</v>
      </c>
      <c r="B98" s="20" t="s">
        <v>399</v>
      </c>
      <c r="C98" s="26">
        <v>0</v>
      </c>
      <c r="D98" s="21">
        <f t="shared" si="7"/>
        <v>-1007.23</v>
      </c>
      <c r="E98" s="26">
        <v>1007.23</v>
      </c>
      <c r="F98" s="91"/>
      <c r="G98" s="26">
        <v>0</v>
      </c>
      <c r="H98" s="21">
        <f t="shared" si="8"/>
        <v>-2000</v>
      </c>
      <c r="I98" s="26">
        <v>2000</v>
      </c>
    </row>
    <row r="99" spans="1:9">
      <c r="A99" s="25" t="s">
        <v>146</v>
      </c>
      <c r="B99" s="20" t="s">
        <v>147</v>
      </c>
      <c r="C99" s="26">
        <v>0</v>
      </c>
      <c r="D99" s="21">
        <f t="shared" si="7"/>
        <v>0</v>
      </c>
      <c r="E99" s="26">
        <v>0</v>
      </c>
      <c r="F99" s="91"/>
      <c r="G99" s="26">
        <v>0</v>
      </c>
      <c r="H99" s="21">
        <f t="shared" si="8"/>
        <v>-5000</v>
      </c>
      <c r="I99" s="26">
        <v>5000</v>
      </c>
    </row>
    <row r="100" spans="1:9">
      <c r="A100" s="93" t="s">
        <v>400</v>
      </c>
      <c r="B100" s="54" t="s">
        <v>401</v>
      </c>
      <c r="C100" s="26">
        <v>120.72</v>
      </c>
      <c r="D100" s="21">
        <f t="shared" si="7"/>
        <v>-761.93</v>
      </c>
      <c r="E100" s="26">
        <v>882.65</v>
      </c>
      <c r="F100" s="91"/>
      <c r="G100" s="26">
        <v>0</v>
      </c>
      <c r="H100" s="21">
        <f t="shared" si="8"/>
        <v>-5000</v>
      </c>
      <c r="I100" s="26">
        <v>5000</v>
      </c>
    </row>
    <row r="101" spans="1:9">
      <c r="A101" s="101" t="s">
        <v>148</v>
      </c>
      <c r="B101" s="16" t="s">
        <v>149</v>
      </c>
      <c r="C101" s="17">
        <f>SUM(C102)</f>
        <v>0</v>
      </c>
      <c r="D101" s="18">
        <f>SUM(D102)</f>
        <v>0</v>
      </c>
      <c r="E101" s="17">
        <f>SUM(E102)</f>
        <v>0</v>
      </c>
      <c r="F101" s="91"/>
      <c r="G101" s="17">
        <f>SUM(G102)</f>
        <v>0</v>
      </c>
      <c r="H101" s="18">
        <f>SUM(H102)</f>
        <v>-1000</v>
      </c>
      <c r="I101" s="17">
        <f>SUM(I102)</f>
        <v>1000</v>
      </c>
    </row>
    <row r="102" spans="1:9">
      <c r="A102" s="93" t="s">
        <v>150</v>
      </c>
      <c r="B102" s="56" t="s">
        <v>151</v>
      </c>
      <c r="C102" s="22">
        <v>0</v>
      </c>
      <c r="D102" s="21">
        <f>-E102+C102</f>
        <v>0</v>
      </c>
      <c r="E102" s="26">
        <v>0</v>
      </c>
      <c r="F102" s="91"/>
      <c r="G102" s="22">
        <v>0</v>
      </c>
      <c r="H102" s="21">
        <f>-I102+G102</f>
        <v>-1000</v>
      </c>
      <c r="I102" s="26">
        <v>1000</v>
      </c>
    </row>
    <row r="103" spans="1:9">
      <c r="A103" s="27" t="s">
        <v>432</v>
      </c>
      <c r="B103" s="16" t="s">
        <v>433</v>
      </c>
      <c r="C103" s="17">
        <f>SUM(C104)</f>
        <v>232.5</v>
      </c>
      <c r="D103" s="18">
        <f>SUM(D104)</f>
        <v>232.5</v>
      </c>
      <c r="E103" s="17">
        <f>SUM(E104)</f>
        <v>0</v>
      </c>
      <c r="F103" s="91"/>
      <c r="G103" s="17">
        <f>SUM(G104)</f>
        <v>400</v>
      </c>
      <c r="H103" s="18">
        <f>SUM(H104)</f>
        <v>400</v>
      </c>
      <c r="I103" s="17">
        <f>SUM(I104)</f>
        <v>0</v>
      </c>
    </row>
    <row r="104" spans="1:9">
      <c r="A104" s="55" t="s">
        <v>434</v>
      </c>
      <c r="B104" s="56" t="s">
        <v>435</v>
      </c>
      <c r="C104" s="22">
        <v>232.5</v>
      </c>
      <c r="D104" s="21">
        <f>-E104+C104</f>
        <v>232.5</v>
      </c>
      <c r="E104" s="26">
        <v>0</v>
      </c>
      <c r="F104" s="91"/>
      <c r="G104" s="22">
        <v>400</v>
      </c>
      <c r="H104" s="21">
        <f>-I104+G104</f>
        <v>400</v>
      </c>
      <c r="I104" s="26">
        <v>0</v>
      </c>
    </row>
    <row r="105" spans="1:9" ht="21">
      <c r="A105" s="32" t="s">
        <v>152</v>
      </c>
      <c r="B105" s="33" t="s">
        <v>153</v>
      </c>
      <c r="C105" s="34">
        <f>SUM(C106,C113)</f>
        <v>0</v>
      </c>
      <c r="D105" s="41">
        <f>SUM(D106,D113)</f>
        <v>-80828.87000000001</v>
      </c>
      <c r="E105" s="34">
        <f>SUM(E106,E113)</f>
        <v>80828.87000000001</v>
      </c>
      <c r="G105" s="34">
        <f>SUM(G106,G113)</f>
        <v>0</v>
      </c>
      <c r="H105" s="41">
        <f>SUM(H106,H113)</f>
        <v>-97597.165999999997</v>
      </c>
      <c r="I105" s="34">
        <f>SUM(I106,I113)</f>
        <v>97597.165999999997</v>
      </c>
    </row>
    <row r="106" spans="1:9">
      <c r="A106" s="27" t="s">
        <v>154</v>
      </c>
      <c r="B106" s="16" t="s">
        <v>155</v>
      </c>
      <c r="C106" s="17">
        <f>SUM(C107:C112)</f>
        <v>0</v>
      </c>
      <c r="D106" s="18">
        <f>SUM(D107:D112)</f>
        <v>-56786.650000000009</v>
      </c>
      <c r="E106" s="17">
        <f>SUM(E107:E112)</f>
        <v>56786.650000000009</v>
      </c>
      <c r="G106" s="17">
        <f>SUM(G107:G112)</f>
        <v>0</v>
      </c>
      <c r="H106" s="18">
        <f>SUM(H107:H112)</f>
        <v>-72597.165999999997</v>
      </c>
      <c r="I106" s="17">
        <f>SUM(I107:I112)</f>
        <v>72597.165999999997</v>
      </c>
    </row>
    <row r="107" spans="1:9">
      <c r="A107" s="25" t="s">
        <v>156</v>
      </c>
      <c r="B107" s="20" t="s">
        <v>157</v>
      </c>
      <c r="C107" s="22">
        <v>0</v>
      </c>
      <c r="D107" s="21">
        <f t="shared" ref="D107:D112" si="9">-E107+C107</f>
        <v>-21006.59</v>
      </c>
      <c r="E107" s="26">
        <v>21006.59</v>
      </c>
      <c r="F107" s="91"/>
      <c r="G107" s="22">
        <v>0</v>
      </c>
      <c r="H107" s="21">
        <f t="shared" ref="H107:H112" si="10">-I107+G107</f>
        <v>-27397.165999999997</v>
      </c>
      <c r="I107" s="26">
        <f>((2088.79+2211.78+640.73+1084.27)*3.8)+2000+2500</f>
        <v>27397.165999999997</v>
      </c>
    </row>
    <row r="108" spans="1:9">
      <c r="A108" s="25" t="s">
        <v>158</v>
      </c>
      <c r="B108" s="20" t="s">
        <v>159</v>
      </c>
      <c r="C108" s="22">
        <v>0</v>
      </c>
      <c r="D108" s="21">
        <f t="shared" si="9"/>
        <v>-6600</v>
      </c>
      <c r="E108" s="96">
        <v>6600</v>
      </c>
      <c r="F108" s="91"/>
      <c r="G108" s="22">
        <v>0</v>
      </c>
      <c r="H108" s="21">
        <f t="shared" si="10"/>
        <v>-7200</v>
      </c>
      <c r="I108" s="96">
        <f>600*4*3</f>
        <v>7200</v>
      </c>
    </row>
    <row r="109" spans="1:9">
      <c r="A109" s="25" t="s">
        <v>160</v>
      </c>
      <c r="B109" s="20" t="s">
        <v>161</v>
      </c>
      <c r="C109" s="22">
        <v>0</v>
      </c>
      <c r="D109" s="21">
        <f t="shared" si="9"/>
        <v>-17713.400000000001</v>
      </c>
      <c r="E109" s="96">
        <v>17713.400000000001</v>
      </c>
      <c r="F109" s="91"/>
      <c r="G109" s="22">
        <v>0</v>
      </c>
      <c r="H109" s="21">
        <f t="shared" si="10"/>
        <v>-20100</v>
      </c>
      <c r="I109" s="96">
        <f>3000+1200+1800+8700+3000+1200+1200</f>
        <v>20100</v>
      </c>
    </row>
    <row r="110" spans="1:9">
      <c r="A110" s="25" t="s">
        <v>162</v>
      </c>
      <c r="B110" s="20" t="s">
        <v>163</v>
      </c>
      <c r="C110" s="22">
        <v>0</v>
      </c>
      <c r="D110" s="21">
        <f t="shared" si="9"/>
        <v>-9766.66</v>
      </c>
      <c r="E110" s="22">
        <v>9766.66</v>
      </c>
      <c r="F110" s="91"/>
      <c r="G110" s="22">
        <v>0</v>
      </c>
      <c r="H110" s="21">
        <f t="shared" si="10"/>
        <v>-10200</v>
      </c>
      <c r="I110" s="22">
        <f>1200+1200+1200+1200+1200+3000+1200</f>
        <v>10200</v>
      </c>
    </row>
    <row r="111" spans="1:9">
      <c r="A111" s="25" t="s">
        <v>164</v>
      </c>
      <c r="B111" s="54" t="s">
        <v>165</v>
      </c>
      <c r="C111" s="22">
        <v>0</v>
      </c>
      <c r="D111" s="21">
        <f t="shared" si="9"/>
        <v>-400</v>
      </c>
      <c r="E111" s="26">
        <v>400</v>
      </c>
      <c r="F111" s="91"/>
      <c r="G111" s="22">
        <v>0</v>
      </c>
      <c r="H111" s="21">
        <f t="shared" si="10"/>
        <v>-4800</v>
      </c>
      <c r="I111" s="26">
        <f>1200+1800+1800</f>
        <v>4800</v>
      </c>
    </row>
    <row r="112" spans="1:9">
      <c r="A112" s="25" t="s">
        <v>166</v>
      </c>
      <c r="B112" s="20" t="s">
        <v>167</v>
      </c>
      <c r="C112" s="22">
        <v>0</v>
      </c>
      <c r="D112" s="21">
        <f t="shared" si="9"/>
        <v>-1300</v>
      </c>
      <c r="E112" s="26">
        <v>1300</v>
      </c>
      <c r="F112" s="91"/>
      <c r="G112" s="22">
        <v>0</v>
      </c>
      <c r="H112" s="21">
        <f t="shared" si="10"/>
        <v>-2900</v>
      </c>
      <c r="I112" s="26">
        <f>600+600+600+300+600+200</f>
        <v>2900</v>
      </c>
    </row>
    <row r="113" spans="1:9">
      <c r="A113" s="27" t="s">
        <v>168</v>
      </c>
      <c r="B113" s="16" t="s">
        <v>169</v>
      </c>
      <c r="C113" s="17">
        <f>SUM(C114:C115)</f>
        <v>0</v>
      </c>
      <c r="D113" s="18">
        <f>SUM(D114:D115)</f>
        <v>-24042.22</v>
      </c>
      <c r="E113" s="17">
        <f>SUM(E114:E115)</f>
        <v>24042.22</v>
      </c>
      <c r="F113" s="91"/>
      <c r="G113" s="17">
        <f>SUM(G114:G115)</f>
        <v>0</v>
      </c>
      <c r="H113" s="18">
        <f>SUM(H114:H115)</f>
        <v>-25000</v>
      </c>
      <c r="I113" s="17">
        <f>SUM(I114:I115)</f>
        <v>25000</v>
      </c>
    </row>
    <row r="114" spans="1:9">
      <c r="A114" s="25" t="s">
        <v>170</v>
      </c>
      <c r="B114" s="20" t="s">
        <v>402</v>
      </c>
      <c r="C114" s="22">
        <v>0</v>
      </c>
      <c r="D114" s="21">
        <f>-E114+C114</f>
        <v>-19393.080000000002</v>
      </c>
      <c r="E114" s="96">
        <v>19393.080000000002</v>
      </c>
      <c r="F114" s="91"/>
      <c r="G114" s="22">
        <v>0</v>
      </c>
      <c r="H114" s="21">
        <f>-I114+G114</f>
        <v>-20000</v>
      </c>
      <c r="I114" s="96">
        <v>20000</v>
      </c>
    </row>
    <row r="115" spans="1:9">
      <c r="A115" s="25" t="s">
        <v>171</v>
      </c>
      <c r="B115" s="20" t="s">
        <v>403</v>
      </c>
      <c r="C115" s="26">
        <v>0</v>
      </c>
      <c r="D115" s="21">
        <f>-E115+C115</f>
        <v>-4649.1400000000003</v>
      </c>
      <c r="E115" s="26">
        <v>4649.1400000000003</v>
      </c>
      <c r="F115" s="91"/>
      <c r="G115" s="26">
        <v>0</v>
      </c>
      <c r="H115" s="21">
        <f>-I115+G115</f>
        <v>-5000</v>
      </c>
      <c r="I115" s="26">
        <v>5000</v>
      </c>
    </row>
    <row r="116" spans="1:9" ht="21">
      <c r="A116" s="32" t="s">
        <v>172</v>
      </c>
      <c r="B116" s="33" t="s">
        <v>173</v>
      </c>
      <c r="C116" s="14">
        <f>SUM(C117,C121,C123,C127,C132,C135,C138,C144,C147)</f>
        <v>376.73</v>
      </c>
      <c r="D116" s="41">
        <f>SUM(D117,D121,D123,D127,D132,D135,D138,D144,D147)</f>
        <v>-15687.19</v>
      </c>
      <c r="E116" s="14">
        <f>SUM(E117,E121,E123,E127,E132,E135,E138,E144,E147)</f>
        <v>16063.92</v>
      </c>
      <c r="G116" s="14">
        <f>SUM(G117,G121,G123,G127,G132,G135,G138,G144,G147)</f>
        <v>0</v>
      </c>
      <c r="H116" s="41">
        <f>SUM(H117,H121,H123,H127,H132,H135,H138,H144,H147)</f>
        <v>-179925</v>
      </c>
      <c r="I116" s="14">
        <f>SUM(I117,I121,I123,I127,I132,I135,I138,I144,I147)</f>
        <v>179925</v>
      </c>
    </row>
    <row r="117" spans="1:9">
      <c r="A117" s="27" t="s">
        <v>174</v>
      </c>
      <c r="B117" s="16" t="s">
        <v>175</v>
      </c>
      <c r="C117" s="43">
        <f>SUM(C118:C120)</f>
        <v>60.19</v>
      </c>
      <c r="D117" s="18">
        <f>SUM(D118:D120)</f>
        <v>-5115.4699999999993</v>
      </c>
      <c r="E117" s="43">
        <f>SUM(E118:E120)</f>
        <v>5175.66</v>
      </c>
      <c r="G117" s="43">
        <f>SUM(G118:G120)</f>
        <v>0</v>
      </c>
      <c r="H117" s="18">
        <f>SUM(H118:H120)</f>
        <v>-28500</v>
      </c>
      <c r="I117" s="43">
        <f>SUM(I118:I120)</f>
        <v>28500</v>
      </c>
    </row>
    <row r="118" spans="1:9">
      <c r="A118" s="25" t="s">
        <v>176</v>
      </c>
      <c r="B118" s="20" t="s">
        <v>177</v>
      </c>
      <c r="C118" s="22">
        <v>0</v>
      </c>
      <c r="D118" s="21">
        <f>-E118+C118</f>
        <v>-647.72</v>
      </c>
      <c r="E118" s="96">
        <v>647.72</v>
      </c>
      <c r="F118" s="91"/>
      <c r="G118" s="22">
        <v>0</v>
      </c>
      <c r="H118" s="21">
        <f>-I118+G118</f>
        <v>-5000</v>
      </c>
      <c r="I118" s="96">
        <v>5000</v>
      </c>
    </row>
    <row r="119" spans="1:9">
      <c r="A119" s="25" t="s">
        <v>178</v>
      </c>
      <c r="B119" s="20" t="s">
        <v>179</v>
      </c>
      <c r="C119" s="26">
        <v>0</v>
      </c>
      <c r="D119" s="21">
        <f>-E119+C119</f>
        <v>-1327.84</v>
      </c>
      <c r="E119" s="96">
        <v>1327.84</v>
      </c>
      <c r="F119" s="91"/>
      <c r="G119" s="26">
        <v>0</v>
      </c>
      <c r="H119" s="21">
        <f>-I119+G119</f>
        <v>-3500</v>
      </c>
      <c r="I119" s="96">
        <v>3500</v>
      </c>
    </row>
    <row r="120" spans="1:9">
      <c r="A120" s="25" t="s">
        <v>180</v>
      </c>
      <c r="B120" s="20" t="s">
        <v>181</v>
      </c>
      <c r="C120" s="22">
        <v>60.19</v>
      </c>
      <c r="D120" s="21">
        <f>-E120+C120</f>
        <v>-3139.91</v>
      </c>
      <c r="E120" s="26">
        <v>3200.1</v>
      </c>
      <c r="F120" s="91"/>
      <c r="G120" s="22">
        <v>0</v>
      </c>
      <c r="H120" s="21">
        <f>-I120+G120</f>
        <v>-20000</v>
      </c>
      <c r="I120" s="26">
        <v>20000</v>
      </c>
    </row>
    <row r="121" spans="1:9">
      <c r="A121" s="27" t="s">
        <v>182</v>
      </c>
      <c r="B121" s="16" t="s">
        <v>183</v>
      </c>
      <c r="C121" s="43">
        <f>SUM(C122:C122)</f>
        <v>0</v>
      </c>
      <c r="D121" s="18">
        <f>SUM(D122)</f>
        <v>-33.6</v>
      </c>
      <c r="E121" s="43">
        <f>SUM(E122:E122)</f>
        <v>33.6</v>
      </c>
      <c r="F121" s="91"/>
      <c r="G121" s="43">
        <f>SUM(G122:G122)</f>
        <v>0</v>
      </c>
      <c r="H121" s="18">
        <f>SUM(H122)</f>
        <v>-500</v>
      </c>
      <c r="I121" s="43">
        <f>SUM(I122:I122)</f>
        <v>500</v>
      </c>
    </row>
    <row r="122" spans="1:9">
      <c r="A122" s="25" t="s">
        <v>184</v>
      </c>
      <c r="B122" s="20" t="s">
        <v>183</v>
      </c>
      <c r="C122" s="22">
        <v>0</v>
      </c>
      <c r="D122" s="21">
        <f>-E122+C122</f>
        <v>-33.6</v>
      </c>
      <c r="E122" s="26">
        <v>33.6</v>
      </c>
      <c r="F122" s="91"/>
      <c r="G122" s="22">
        <v>0</v>
      </c>
      <c r="H122" s="21">
        <f>-I122+G122</f>
        <v>-500</v>
      </c>
      <c r="I122" s="26">
        <v>500</v>
      </c>
    </row>
    <row r="123" spans="1:9">
      <c r="A123" s="27" t="s">
        <v>185</v>
      </c>
      <c r="B123" s="16" t="s">
        <v>186</v>
      </c>
      <c r="C123" s="43">
        <f>SUM(C124:C126)</f>
        <v>0</v>
      </c>
      <c r="D123" s="18">
        <f>SUM(D124:D126)</f>
        <v>-394.5</v>
      </c>
      <c r="E123" s="43">
        <f>SUM(E124:E126)</f>
        <v>394.5</v>
      </c>
      <c r="F123" s="91"/>
      <c r="G123" s="43">
        <f>SUM(G124:G126)</f>
        <v>0</v>
      </c>
      <c r="H123" s="18">
        <f>SUM(H124:H126)</f>
        <v>-10425</v>
      </c>
      <c r="I123" s="43">
        <f>SUM(I124:I126)</f>
        <v>10425</v>
      </c>
    </row>
    <row r="124" spans="1:9">
      <c r="A124" s="25" t="s">
        <v>187</v>
      </c>
      <c r="B124" s="20" t="s">
        <v>188</v>
      </c>
      <c r="C124" s="22">
        <v>0</v>
      </c>
      <c r="D124" s="21">
        <f>-E124+C124</f>
        <v>0</v>
      </c>
      <c r="E124" s="26">
        <v>0</v>
      </c>
      <c r="F124" s="91"/>
      <c r="G124" s="22">
        <v>0</v>
      </c>
      <c r="H124" s="21">
        <f>-I124+G124</f>
        <v>-25</v>
      </c>
      <c r="I124" s="26">
        <v>25</v>
      </c>
    </row>
    <row r="125" spans="1:9">
      <c r="A125" s="25" t="s">
        <v>189</v>
      </c>
      <c r="B125" s="20" t="s">
        <v>190</v>
      </c>
      <c r="C125" s="22">
        <v>0</v>
      </c>
      <c r="D125" s="21">
        <f>-E125+C125</f>
        <v>-394.5</v>
      </c>
      <c r="E125" s="26">
        <v>394.5</v>
      </c>
      <c r="F125" s="91"/>
      <c r="G125" s="22">
        <v>0</v>
      </c>
      <c r="H125" s="21">
        <f>-I125+G125</f>
        <v>-400</v>
      </c>
      <c r="I125" s="26">
        <v>400</v>
      </c>
    </row>
    <row r="126" spans="1:9">
      <c r="A126" s="93" t="s">
        <v>411</v>
      </c>
      <c r="B126" s="54" t="s">
        <v>412</v>
      </c>
      <c r="C126" s="22">
        <v>0</v>
      </c>
      <c r="D126" s="21">
        <f>-E126+C126</f>
        <v>0</v>
      </c>
      <c r="E126" s="26">
        <v>0</v>
      </c>
      <c r="F126" s="91"/>
      <c r="G126" s="22">
        <v>0</v>
      </c>
      <c r="H126" s="21">
        <f>-I126+G126</f>
        <v>-10000</v>
      </c>
      <c r="I126" s="26">
        <v>10000</v>
      </c>
    </row>
    <row r="127" spans="1:9">
      <c r="A127" s="27" t="s">
        <v>191</v>
      </c>
      <c r="B127" s="16" t="s">
        <v>192</v>
      </c>
      <c r="C127" s="43">
        <f>SUM(C128:C131)</f>
        <v>316.54000000000002</v>
      </c>
      <c r="D127" s="18">
        <f>SUM(D128:D131)</f>
        <v>-523.88</v>
      </c>
      <c r="E127" s="43">
        <f>SUM(E128:E131)</f>
        <v>840.42000000000007</v>
      </c>
      <c r="F127" s="91"/>
      <c r="G127" s="43">
        <f>SUM(G128:G131)</f>
        <v>0</v>
      </c>
      <c r="H127" s="18">
        <f>SUM(H128:H131)</f>
        <v>-22500</v>
      </c>
      <c r="I127" s="43">
        <f>SUM(I128:I131)</f>
        <v>22500</v>
      </c>
    </row>
    <row r="128" spans="1:9">
      <c r="A128" s="25" t="s">
        <v>193</v>
      </c>
      <c r="B128" s="20" t="s">
        <v>929</v>
      </c>
      <c r="C128" s="22">
        <v>0</v>
      </c>
      <c r="D128" s="21">
        <f>-E128+C128</f>
        <v>-280.95999999999998</v>
      </c>
      <c r="E128" s="26">
        <v>280.95999999999998</v>
      </c>
      <c r="F128" s="91"/>
      <c r="G128" s="22">
        <v>0</v>
      </c>
      <c r="H128" s="21">
        <f>-I128+G128</f>
        <v>-20000</v>
      </c>
      <c r="I128" s="26">
        <v>20000</v>
      </c>
    </row>
    <row r="129" spans="1:9">
      <c r="A129" s="45" t="s">
        <v>195</v>
      </c>
      <c r="B129" s="46" t="s">
        <v>196</v>
      </c>
      <c r="C129" s="47">
        <v>0</v>
      </c>
      <c r="D129" s="48">
        <f>-E129+C129</f>
        <v>0</v>
      </c>
      <c r="E129" s="126">
        <v>0</v>
      </c>
      <c r="F129" s="91"/>
      <c r="G129" s="47">
        <v>0</v>
      </c>
      <c r="H129" s="48">
        <f>-I129+G129</f>
        <v>0</v>
      </c>
      <c r="I129" s="126">
        <v>0</v>
      </c>
    </row>
    <row r="130" spans="1:9">
      <c r="A130" s="45" t="s">
        <v>197</v>
      </c>
      <c r="B130" s="46" t="s">
        <v>198</v>
      </c>
      <c r="C130" s="47">
        <v>0</v>
      </c>
      <c r="D130" s="48">
        <f>-E130+C130</f>
        <v>0</v>
      </c>
      <c r="E130" s="126">
        <v>0</v>
      </c>
      <c r="F130" s="91"/>
      <c r="G130" s="47">
        <v>0</v>
      </c>
      <c r="H130" s="48">
        <f>-I130+G130</f>
        <v>0</v>
      </c>
      <c r="I130" s="126">
        <v>0</v>
      </c>
    </row>
    <row r="131" spans="1:9">
      <c r="A131" s="25" t="s">
        <v>199</v>
      </c>
      <c r="B131" s="20" t="s">
        <v>200</v>
      </c>
      <c r="C131" s="22">
        <v>316.54000000000002</v>
      </c>
      <c r="D131" s="21">
        <f>-E131+C131</f>
        <v>-242.92000000000002</v>
      </c>
      <c r="E131" s="26">
        <v>559.46</v>
      </c>
      <c r="F131" s="91"/>
      <c r="G131" s="22">
        <v>0</v>
      </c>
      <c r="H131" s="21">
        <f>-I131+G131</f>
        <v>-2500</v>
      </c>
      <c r="I131" s="26">
        <v>2500</v>
      </c>
    </row>
    <row r="132" spans="1:9">
      <c r="A132" s="27" t="s">
        <v>201</v>
      </c>
      <c r="B132" s="16" t="s">
        <v>202</v>
      </c>
      <c r="C132" s="43">
        <f>SUM(C133:C134)</f>
        <v>0</v>
      </c>
      <c r="D132" s="18">
        <f>SUM(D133:D134)</f>
        <v>-125.84</v>
      </c>
      <c r="E132" s="43">
        <f>SUM(E133:E134)</f>
        <v>125.84</v>
      </c>
      <c r="F132" s="91"/>
      <c r="G132" s="43">
        <f>SUM(G133:G134)</f>
        <v>0</v>
      </c>
      <c r="H132" s="18">
        <f>SUM(H133:H134)</f>
        <v>-3000</v>
      </c>
      <c r="I132" s="43">
        <f>SUM(I133:I134)</f>
        <v>3000</v>
      </c>
    </row>
    <row r="133" spans="1:9">
      <c r="A133" s="25" t="s">
        <v>203</v>
      </c>
      <c r="B133" s="20" t="s">
        <v>202</v>
      </c>
      <c r="C133" s="22">
        <v>0</v>
      </c>
      <c r="D133" s="21">
        <f>-E133+C133</f>
        <v>-119.31</v>
      </c>
      <c r="E133" s="26">
        <v>119.31</v>
      </c>
      <c r="F133" s="91"/>
      <c r="G133" s="22">
        <v>0</v>
      </c>
      <c r="H133" s="21">
        <f>-I133+G133</f>
        <v>-2000</v>
      </c>
      <c r="I133" s="26">
        <v>2000</v>
      </c>
    </row>
    <row r="134" spans="1:9">
      <c r="A134" s="25" t="s">
        <v>204</v>
      </c>
      <c r="B134" s="20" t="s">
        <v>205</v>
      </c>
      <c r="C134" s="22">
        <v>0</v>
      </c>
      <c r="D134" s="21">
        <f>-E134+C134</f>
        <v>-6.53</v>
      </c>
      <c r="E134" s="26">
        <v>6.53</v>
      </c>
      <c r="F134" s="91"/>
      <c r="G134" s="22">
        <v>0</v>
      </c>
      <c r="H134" s="21">
        <f>-I134+G134</f>
        <v>-1000</v>
      </c>
      <c r="I134" s="26">
        <v>1000</v>
      </c>
    </row>
    <row r="135" spans="1:9">
      <c r="A135" s="27" t="s">
        <v>206</v>
      </c>
      <c r="B135" s="16" t="s">
        <v>207</v>
      </c>
      <c r="C135" s="43">
        <f>SUM(C136:C137)</f>
        <v>0</v>
      </c>
      <c r="D135" s="18">
        <f>SUM(D136:D137)</f>
        <v>0</v>
      </c>
      <c r="E135" s="43">
        <f>SUM(E136:E137)</f>
        <v>0</v>
      </c>
      <c r="F135" s="91"/>
      <c r="G135" s="43">
        <f>SUM(G136:G137)</f>
        <v>0</v>
      </c>
      <c r="H135" s="18">
        <f>SUM(H136:H137)</f>
        <v>-70000</v>
      </c>
      <c r="I135" s="43">
        <f>SUM(I136:I137)</f>
        <v>70000</v>
      </c>
    </row>
    <row r="136" spans="1:9">
      <c r="A136" s="25" t="s">
        <v>208</v>
      </c>
      <c r="B136" s="20" t="s">
        <v>209</v>
      </c>
      <c r="C136" s="22">
        <v>0</v>
      </c>
      <c r="D136" s="21">
        <f>-E136+C136</f>
        <v>0</v>
      </c>
      <c r="E136" s="26">
        <v>0</v>
      </c>
      <c r="F136" s="91"/>
      <c r="G136" s="22">
        <v>0</v>
      </c>
      <c r="H136" s="21">
        <f>-I136+G136</f>
        <v>-20000</v>
      </c>
      <c r="I136" s="26">
        <v>20000</v>
      </c>
    </row>
    <row r="137" spans="1:9">
      <c r="A137" s="25" t="s">
        <v>210</v>
      </c>
      <c r="B137" s="20" t="s">
        <v>211</v>
      </c>
      <c r="C137" s="22">
        <v>0</v>
      </c>
      <c r="D137" s="21">
        <f>-E137+C137</f>
        <v>0</v>
      </c>
      <c r="E137" s="26">
        <v>0</v>
      </c>
      <c r="F137" s="91"/>
      <c r="G137" s="22">
        <v>0</v>
      </c>
      <c r="H137" s="21">
        <f>-I137+G137</f>
        <v>-50000</v>
      </c>
      <c r="I137" s="26">
        <v>50000</v>
      </c>
    </row>
    <row r="138" spans="1:9">
      <c r="A138" s="27" t="s">
        <v>212</v>
      </c>
      <c r="B138" s="16" t="s">
        <v>213</v>
      </c>
      <c r="C138" s="43">
        <f>SUM(C139:C143)</f>
        <v>0</v>
      </c>
      <c r="D138" s="18">
        <f>SUM(D139:D143)</f>
        <v>-8755.93</v>
      </c>
      <c r="E138" s="43">
        <f>SUM(E139:E143)</f>
        <v>8755.93</v>
      </c>
      <c r="F138" s="91"/>
      <c r="G138" s="43">
        <f>SUM(G139:G143)</f>
        <v>0</v>
      </c>
      <c r="H138" s="18">
        <f>SUM(H139:H143)</f>
        <v>-30000</v>
      </c>
      <c r="I138" s="43">
        <f>SUM(I139:I143)</f>
        <v>30000</v>
      </c>
    </row>
    <row r="139" spans="1:9">
      <c r="A139" s="25" t="s">
        <v>214</v>
      </c>
      <c r="B139" s="20" t="s">
        <v>215</v>
      </c>
      <c r="C139" s="22">
        <v>0</v>
      </c>
      <c r="D139" s="21">
        <f>-E139+C139</f>
        <v>-1272.6300000000001</v>
      </c>
      <c r="E139" s="26">
        <v>1272.6300000000001</v>
      </c>
      <c r="F139" s="91"/>
      <c r="G139" s="22">
        <v>0</v>
      </c>
      <c r="H139" s="21">
        <f>-I139+G139</f>
        <v>-10000</v>
      </c>
      <c r="I139" s="26">
        <v>10000</v>
      </c>
    </row>
    <row r="140" spans="1:9">
      <c r="A140" s="25" t="s">
        <v>216</v>
      </c>
      <c r="B140" s="20" t="s">
        <v>132</v>
      </c>
      <c r="C140" s="22">
        <v>0</v>
      </c>
      <c r="D140" s="21">
        <f>-E140+C140</f>
        <v>0</v>
      </c>
      <c r="E140" s="26">
        <v>0</v>
      </c>
      <c r="F140" s="91"/>
      <c r="G140" s="22">
        <v>0</v>
      </c>
      <c r="H140" s="21">
        <f>-I140+G140</f>
        <v>-5000</v>
      </c>
      <c r="I140" s="26">
        <v>5000</v>
      </c>
    </row>
    <row r="141" spans="1:9">
      <c r="A141" s="25" t="s">
        <v>217</v>
      </c>
      <c r="B141" s="20" t="s">
        <v>218</v>
      </c>
      <c r="C141" s="22">
        <v>0</v>
      </c>
      <c r="D141" s="21">
        <f>-E141+C141</f>
        <v>-2663.79</v>
      </c>
      <c r="E141" s="96">
        <v>2663.79</v>
      </c>
      <c r="F141" s="91"/>
      <c r="G141" s="22">
        <v>0</v>
      </c>
      <c r="H141" s="21">
        <f>-I141+G141</f>
        <v>-5000</v>
      </c>
      <c r="I141" s="96">
        <v>5000</v>
      </c>
    </row>
    <row r="142" spans="1:9">
      <c r="A142" s="25" t="s">
        <v>930</v>
      </c>
      <c r="B142" s="20" t="s">
        <v>220</v>
      </c>
      <c r="C142" s="22">
        <v>0</v>
      </c>
      <c r="D142" s="21">
        <f>-E142+C142</f>
        <v>-272.01</v>
      </c>
      <c r="E142" s="26">
        <v>272.01</v>
      </c>
      <c r="F142" s="91"/>
      <c r="G142" s="22">
        <v>0</v>
      </c>
      <c r="H142" s="21">
        <f>-I142+G142</f>
        <v>-5000</v>
      </c>
      <c r="I142" s="26">
        <v>5000</v>
      </c>
    </row>
    <row r="143" spans="1:9">
      <c r="A143" s="25" t="s">
        <v>418</v>
      </c>
      <c r="B143" s="20" t="s">
        <v>419</v>
      </c>
      <c r="C143" s="22">
        <v>0</v>
      </c>
      <c r="D143" s="21">
        <f>-E143+C143</f>
        <v>-4547.5</v>
      </c>
      <c r="E143" s="26">
        <v>4547.5</v>
      </c>
      <c r="F143" s="91"/>
      <c r="G143" s="22">
        <v>0</v>
      </c>
      <c r="H143" s="21">
        <f>-I143+G143</f>
        <v>-5000</v>
      </c>
      <c r="I143" s="26">
        <v>5000</v>
      </c>
    </row>
    <row r="144" spans="1:9">
      <c r="A144" s="27" t="s">
        <v>221</v>
      </c>
      <c r="B144" s="16" t="s">
        <v>404</v>
      </c>
      <c r="C144" s="43">
        <f>SUM(C145:C146)</f>
        <v>0</v>
      </c>
      <c r="D144" s="18">
        <f>SUM(D145:D146)</f>
        <v>-737.97</v>
      </c>
      <c r="E144" s="43">
        <f>SUM(E145:E146)</f>
        <v>737.97</v>
      </c>
      <c r="F144" s="91"/>
      <c r="G144" s="43">
        <f>SUM(G145:G146)</f>
        <v>0</v>
      </c>
      <c r="H144" s="18">
        <f>SUM(H145:H146)</f>
        <v>-15000</v>
      </c>
      <c r="I144" s="43">
        <f>SUM(I145:I146)</f>
        <v>15000</v>
      </c>
    </row>
    <row r="145" spans="1:9">
      <c r="A145" s="25" t="s">
        <v>222</v>
      </c>
      <c r="B145" s="20" t="s">
        <v>931</v>
      </c>
      <c r="C145" s="22">
        <v>0</v>
      </c>
      <c r="D145" s="21">
        <f>-E145+C145</f>
        <v>-737.97</v>
      </c>
      <c r="E145" s="26">
        <v>737.97</v>
      </c>
      <c r="F145" s="91"/>
      <c r="G145" s="22">
        <v>0</v>
      </c>
      <c r="H145" s="21">
        <f>-I145+G145</f>
        <v>-15000</v>
      </c>
      <c r="I145" s="26">
        <v>15000</v>
      </c>
    </row>
    <row r="146" spans="1:9">
      <c r="A146" s="45" t="s">
        <v>224</v>
      </c>
      <c r="B146" s="46" t="s">
        <v>225</v>
      </c>
      <c r="C146" s="47">
        <v>0</v>
      </c>
      <c r="D146" s="48">
        <f>-E146+C146</f>
        <v>0</v>
      </c>
      <c r="E146" s="151">
        <v>0</v>
      </c>
      <c r="F146" s="91"/>
      <c r="G146" s="47">
        <v>0</v>
      </c>
      <c r="H146" s="48">
        <f>-I146+G146</f>
        <v>0</v>
      </c>
      <c r="I146" s="151">
        <v>0</v>
      </c>
    </row>
    <row r="147" spans="1:9">
      <c r="A147" s="65" t="s">
        <v>226</v>
      </c>
      <c r="B147" s="66" t="s">
        <v>227</v>
      </c>
      <c r="C147" s="86">
        <f>SUM(C148:C149)</f>
        <v>0</v>
      </c>
      <c r="D147" s="67">
        <f>SUM(D148:D149)</f>
        <v>0</v>
      </c>
      <c r="E147" s="86">
        <f>SUM(E148:E149)</f>
        <v>0</v>
      </c>
      <c r="F147" s="91"/>
      <c r="G147" s="86">
        <f>SUM(G148:G149)</f>
        <v>0</v>
      </c>
      <c r="H147" s="67">
        <f>SUM(H148:H149)</f>
        <v>0</v>
      </c>
      <c r="I147" s="86">
        <f>SUM(I148:I149)</f>
        <v>0</v>
      </c>
    </row>
    <row r="148" spans="1:9">
      <c r="A148" s="45" t="s">
        <v>228</v>
      </c>
      <c r="B148" s="46" t="s">
        <v>229</v>
      </c>
      <c r="C148" s="47">
        <v>0</v>
      </c>
      <c r="D148" s="48">
        <f>-E148+C148</f>
        <v>0</v>
      </c>
      <c r="E148" s="126">
        <v>0</v>
      </c>
      <c r="F148" s="91"/>
      <c r="G148" s="47">
        <v>0</v>
      </c>
      <c r="H148" s="48">
        <f>-I148+G148</f>
        <v>0</v>
      </c>
      <c r="I148" s="126">
        <v>0</v>
      </c>
    </row>
    <row r="149" spans="1:9">
      <c r="A149" s="45" t="s">
        <v>230</v>
      </c>
      <c r="B149" s="46" t="s">
        <v>231</v>
      </c>
      <c r="C149" s="47">
        <v>0</v>
      </c>
      <c r="D149" s="48">
        <f>-E149+C149</f>
        <v>0</v>
      </c>
      <c r="E149" s="126">
        <v>0</v>
      </c>
      <c r="F149" s="91"/>
      <c r="G149" s="47">
        <v>0</v>
      </c>
      <c r="H149" s="48">
        <f>-I149+G149</f>
        <v>0</v>
      </c>
      <c r="I149" s="126">
        <v>0</v>
      </c>
    </row>
    <row r="150" spans="1:9" ht="21">
      <c r="A150" s="32" t="s">
        <v>232</v>
      </c>
      <c r="B150" s="33" t="s">
        <v>233</v>
      </c>
      <c r="C150" s="34">
        <f>SUM(C151,C184,C192)</f>
        <v>128552.29999999999</v>
      </c>
      <c r="D150" s="41">
        <f>SUM(D151,D184,D192)</f>
        <v>8025.7699999999968</v>
      </c>
      <c r="E150" s="34">
        <f>SUM(E151,E184,E192)</f>
        <v>120526.53</v>
      </c>
      <c r="G150" s="34">
        <f>SUM(G151,G184,G192)</f>
        <v>0</v>
      </c>
      <c r="H150" s="41">
        <f>SUM(H151,H184,H192)</f>
        <v>-282511.57999999996</v>
      </c>
      <c r="I150" s="34">
        <f>SUM(I151,I184,I192)</f>
        <v>282511.57999999996</v>
      </c>
    </row>
    <row r="151" spans="1:9">
      <c r="A151" s="27" t="s">
        <v>234</v>
      </c>
      <c r="B151" s="16" t="s">
        <v>235</v>
      </c>
      <c r="C151" s="43">
        <f>SUM(C152:C183)</f>
        <v>128552.29999999999</v>
      </c>
      <c r="D151" s="18">
        <f>SUM(D152:D183)</f>
        <v>12318.799999999996</v>
      </c>
      <c r="E151" s="43">
        <f>SUM(E152:E183)</f>
        <v>116233.5</v>
      </c>
      <c r="G151" s="43">
        <f>SUM(G152:G183)</f>
        <v>0</v>
      </c>
      <c r="H151" s="18">
        <f>SUM(H152:H183)</f>
        <v>-205011.58</v>
      </c>
      <c r="I151" s="43">
        <f>SUM(I152:I183)</f>
        <v>205011.58</v>
      </c>
    </row>
    <row r="152" spans="1:9">
      <c r="A152" s="36" t="s">
        <v>236</v>
      </c>
      <c r="B152" s="54" t="s">
        <v>237</v>
      </c>
      <c r="C152" s="26">
        <v>1051.97</v>
      </c>
      <c r="D152" s="39">
        <f>-E152+C152</f>
        <v>-1377.3500000000001</v>
      </c>
      <c r="E152" s="84">
        <v>2429.3200000000002</v>
      </c>
      <c r="F152" s="91"/>
      <c r="G152" s="26">
        <v>0</v>
      </c>
      <c r="H152" s="39">
        <f t="shared" ref="H152:H183" si="11">-I152+G152</f>
        <v>-7007.02</v>
      </c>
      <c r="I152" s="84">
        <v>7007.02</v>
      </c>
    </row>
    <row r="153" spans="1:9">
      <c r="A153" s="36" t="s">
        <v>238</v>
      </c>
      <c r="B153" s="54" t="s">
        <v>239</v>
      </c>
      <c r="C153" s="26">
        <v>1336.27</v>
      </c>
      <c r="D153" s="39">
        <f t="shared" ref="D153:D183" si="12">-E153+C153</f>
        <v>398.01</v>
      </c>
      <c r="E153" s="84">
        <v>938.26</v>
      </c>
      <c r="F153" s="91"/>
      <c r="G153" s="26">
        <v>0</v>
      </c>
      <c r="H153" s="39">
        <f t="shared" si="11"/>
        <v>-3110.9</v>
      </c>
      <c r="I153" s="84">
        <v>3110.9</v>
      </c>
    </row>
    <row r="154" spans="1:9">
      <c r="A154" s="36" t="s">
        <v>240</v>
      </c>
      <c r="B154" s="37" t="s">
        <v>241</v>
      </c>
      <c r="C154" s="26">
        <v>11136.47</v>
      </c>
      <c r="D154" s="39">
        <f t="shared" si="12"/>
        <v>104.79999999999927</v>
      </c>
      <c r="E154" s="84">
        <v>11031.67</v>
      </c>
      <c r="F154" s="91"/>
      <c r="G154" s="26">
        <v>0</v>
      </c>
      <c r="H154" s="39">
        <f t="shared" si="11"/>
        <v>-13978.25</v>
      </c>
      <c r="I154" s="84">
        <v>13978.25</v>
      </c>
    </row>
    <row r="155" spans="1:9">
      <c r="A155" s="36" t="s">
        <v>242</v>
      </c>
      <c r="B155" s="154" t="s">
        <v>243</v>
      </c>
      <c r="C155" s="26">
        <v>931.98</v>
      </c>
      <c r="D155" s="39">
        <f t="shared" si="12"/>
        <v>-371.81999999999994</v>
      </c>
      <c r="E155" s="84">
        <v>1303.8</v>
      </c>
      <c r="F155" s="91"/>
      <c r="G155" s="26">
        <v>0</v>
      </c>
      <c r="H155" s="39">
        <f t="shared" si="11"/>
        <v>-2589.35</v>
      </c>
      <c r="I155" s="84">
        <v>2589.35</v>
      </c>
    </row>
    <row r="156" spans="1:9">
      <c r="A156" s="36" t="s">
        <v>244</v>
      </c>
      <c r="B156" s="154" t="s">
        <v>245</v>
      </c>
      <c r="C156" s="26">
        <v>3592.38</v>
      </c>
      <c r="D156" s="39">
        <f t="shared" si="12"/>
        <v>-486.82999999999993</v>
      </c>
      <c r="E156" s="84">
        <v>4079.21</v>
      </c>
      <c r="F156" s="91"/>
      <c r="G156" s="26">
        <v>0</v>
      </c>
      <c r="H156" s="39">
        <f t="shared" si="11"/>
        <v>-10691.31</v>
      </c>
      <c r="I156" s="84">
        <v>10691.31</v>
      </c>
    </row>
    <row r="157" spans="1:9">
      <c r="A157" s="36" t="s">
        <v>246</v>
      </c>
      <c r="B157" s="154" t="s">
        <v>247</v>
      </c>
      <c r="C157" s="26">
        <v>4933.09</v>
      </c>
      <c r="D157" s="39">
        <f t="shared" si="12"/>
        <v>-698.84999999999945</v>
      </c>
      <c r="E157" s="84">
        <v>5631.94</v>
      </c>
      <c r="F157" s="91"/>
      <c r="G157" s="26">
        <v>0</v>
      </c>
      <c r="H157" s="39">
        <f t="shared" si="11"/>
        <v>-6854</v>
      </c>
      <c r="I157" s="84">
        <v>6854</v>
      </c>
    </row>
    <row r="158" spans="1:9">
      <c r="A158" s="36" t="s">
        <v>248</v>
      </c>
      <c r="B158" s="54" t="s">
        <v>249</v>
      </c>
      <c r="C158" s="26">
        <v>1121.77</v>
      </c>
      <c r="D158" s="39">
        <f t="shared" si="12"/>
        <v>225.23000000000002</v>
      </c>
      <c r="E158" s="84">
        <v>896.54</v>
      </c>
      <c r="F158" s="91"/>
      <c r="G158" s="26">
        <v>0</v>
      </c>
      <c r="H158" s="39">
        <f t="shared" si="11"/>
        <v>-4506.3500000000004</v>
      </c>
      <c r="I158" s="84">
        <v>4506.3500000000004</v>
      </c>
    </row>
    <row r="159" spans="1:9">
      <c r="A159" s="36" t="s">
        <v>250</v>
      </c>
      <c r="B159" s="54" t="s">
        <v>251</v>
      </c>
      <c r="C159" s="26">
        <v>1088.96</v>
      </c>
      <c r="D159" s="39">
        <f t="shared" si="12"/>
        <v>84.980000000000018</v>
      </c>
      <c r="E159" s="84">
        <v>1003.98</v>
      </c>
      <c r="F159" s="91"/>
      <c r="G159" s="26">
        <v>0</v>
      </c>
      <c r="H159" s="39">
        <f t="shared" si="11"/>
        <v>-4894.91</v>
      </c>
      <c r="I159" s="84">
        <v>4894.91</v>
      </c>
    </row>
    <row r="160" spans="1:9">
      <c r="A160" s="36" t="s">
        <v>252</v>
      </c>
      <c r="B160" s="54" t="s">
        <v>253</v>
      </c>
      <c r="C160" s="26">
        <v>5351.46</v>
      </c>
      <c r="D160" s="39">
        <f t="shared" si="12"/>
        <v>1277.06</v>
      </c>
      <c r="E160" s="84">
        <v>4074.4</v>
      </c>
      <c r="F160" s="91"/>
      <c r="G160" s="26">
        <v>0</v>
      </c>
      <c r="H160" s="39">
        <f t="shared" si="11"/>
        <v>-6094.77</v>
      </c>
      <c r="I160" s="84">
        <v>6094.77</v>
      </c>
    </row>
    <row r="161" spans="1:9">
      <c r="A161" s="36" t="s">
        <v>254</v>
      </c>
      <c r="B161" s="54" t="s">
        <v>255</v>
      </c>
      <c r="C161" s="38">
        <v>771.95</v>
      </c>
      <c r="D161" s="39">
        <f t="shared" si="12"/>
        <v>771.95</v>
      </c>
      <c r="E161" s="84">
        <v>0</v>
      </c>
      <c r="F161" s="91"/>
      <c r="G161" s="38">
        <v>0</v>
      </c>
      <c r="H161" s="39">
        <f t="shared" si="11"/>
        <v>-5874.97</v>
      </c>
      <c r="I161" s="84">
        <v>5874.97</v>
      </c>
    </row>
    <row r="162" spans="1:9">
      <c r="A162" s="36" t="s">
        <v>256</v>
      </c>
      <c r="B162" s="54" t="s">
        <v>257</v>
      </c>
      <c r="C162" s="26">
        <v>738.34</v>
      </c>
      <c r="D162" s="39">
        <f t="shared" si="12"/>
        <v>614.53</v>
      </c>
      <c r="E162" s="84">
        <v>123.81</v>
      </c>
      <c r="F162" s="91"/>
      <c r="G162" s="26">
        <v>0</v>
      </c>
      <c r="H162" s="39">
        <f t="shared" si="11"/>
        <v>-3167.19</v>
      </c>
      <c r="I162" s="84">
        <v>3167.19</v>
      </c>
    </row>
    <row r="163" spans="1:9">
      <c r="A163" s="36" t="s">
        <v>258</v>
      </c>
      <c r="B163" s="54" t="s">
        <v>259</v>
      </c>
      <c r="C163" s="38">
        <v>12095.89</v>
      </c>
      <c r="D163" s="39">
        <f t="shared" si="12"/>
        <v>5346.119999999999</v>
      </c>
      <c r="E163" s="84">
        <v>6749.77</v>
      </c>
      <c r="F163" s="91"/>
      <c r="G163" s="38">
        <v>0</v>
      </c>
      <c r="H163" s="39">
        <f t="shared" si="11"/>
        <v>-9191.9500000000007</v>
      </c>
      <c r="I163" s="84">
        <v>9191.9500000000007</v>
      </c>
    </row>
    <row r="164" spans="1:9">
      <c r="A164" s="36" t="s">
        <v>260</v>
      </c>
      <c r="B164" s="54" t="s">
        <v>261</v>
      </c>
      <c r="C164" s="26">
        <v>899.63</v>
      </c>
      <c r="D164" s="39">
        <f t="shared" si="12"/>
        <v>351.35</v>
      </c>
      <c r="E164" s="84">
        <v>548.28</v>
      </c>
      <c r="F164" s="91"/>
      <c r="G164" s="26">
        <v>0</v>
      </c>
      <c r="H164" s="39">
        <f t="shared" si="11"/>
        <v>-4639.2</v>
      </c>
      <c r="I164" s="84">
        <v>4639.2</v>
      </c>
    </row>
    <row r="165" spans="1:9">
      <c r="A165" s="36" t="s">
        <v>262</v>
      </c>
      <c r="B165" s="54" t="s">
        <v>263</v>
      </c>
      <c r="C165" s="26">
        <v>1789.92</v>
      </c>
      <c r="D165" s="39">
        <f t="shared" si="12"/>
        <v>-794.2199999999998</v>
      </c>
      <c r="E165" s="84">
        <v>2584.14</v>
      </c>
      <c r="F165" s="91"/>
      <c r="G165" s="26">
        <v>0</v>
      </c>
      <c r="H165" s="39">
        <f t="shared" si="11"/>
        <v>-3687.46</v>
      </c>
      <c r="I165" s="84">
        <v>3687.46</v>
      </c>
    </row>
    <row r="166" spans="1:9">
      <c r="A166" s="36" t="s">
        <v>264</v>
      </c>
      <c r="B166" s="54" t="s">
        <v>265</v>
      </c>
      <c r="C166" s="26">
        <v>733.37</v>
      </c>
      <c r="D166" s="39">
        <f t="shared" si="12"/>
        <v>533.37</v>
      </c>
      <c r="E166" s="84">
        <v>200</v>
      </c>
      <c r="F166" s="91"/>
      <c r="G166" s="26">
        <v>0</v>
      </c>
      <c r="H166" s="39">
        <f t="shared" si="11"/>
        <v>-4178.72</v>
      </c>
      <c r="I166" s="84">
        <v>4178.72</v>
      </c>
    </row>
    <row r="167" spans="1:9">
      <c r="A167" s="36" t="s">
        <v>266</v>
      </c>
      <c r="B167" s="54" t="s">
        <v>267</v>
      </c>
      <c r="C167" s="26">
        <v>1818.44</v>
      </c>
      <c r="D167" s="39">
        <f t="shared" si="12"/>
        <v>601.75</v>
      </c>
      <c r="E167" s="84">
        <v>1216.69</v>
      </c>
      <c r="F167" s="91"/>
      <c r="G167" s="26">
        <v>0</v>
      </c>
      <c r="H167" s="39">
        <f t="shared" si="11"/>
        <v>-7352.53</v>
      </c>
      <c r="I167" s="84">
        <v>7352.53</v>
      </c>
    </row>
    <row r="168" spans="1:9">
      <c r="A168" s="36" t="s">
        <v>268</v>
      </c>
      <c r="B168" s="54" t="s">
        <v>269</v>
      </c>
      <c r="C168" s="26">
        <v>2965.06</v>
      </c>
      <c r="D168" s="39">
        <f t="shared" si="12"/>
        <v>-119.86999999999989</v>
      </c>
      <c r="E168" s="84">
        <v>3084.93</v>
      </c>
      <c r="F168" s="91"/>
      <c r="G168" s="26">
        <v>0</v>
      </c>
      <c r="H168" s="39">
        <f t="shared" si="11"/>
        <v>-5428.17</v>
      </c>
      <c r="I168" s="84">
        <v>5428.17</v>
      </c>
    </row>
    <row r="169" spans="1:9">
      <c r="A169" s="36" t="s">
        <v>270</v>
      </c>
      <c r="B169" s="54" t="s">
        <v>271</v>
      </c>
      <c r="C169" s="26">
        <v>1796.77</v>
      </c>
      <c r="D169" s="39">
        <f t="shared" si="12"/>
        <v>-770.49000000000024</v>
      </c>
      <c r="E169" s="84">
        <v>2567.2600000000002</v>
      </c>
      <c r="F169" s="91"/>
      <c r="G169" s="26">
        <v>0</v>
      </c>
      <c r="H169" s="39">
        <f t="shared" si="11"/>
        <v>-3391.79</v>
      </c>
      <c r="I169" s="84">
        <v>3391.79</v>
      </c>
    </row>
    <row r="170" spans="1:9">
      <c r="A170" s="36" t="s">
        <v>272</v>
      </c>
      <c r="B170" s="54" t="s">
        <v>273</v>
      </c>
      <c r="C170" s="26">
        <v>47226.75</v>
      </c>
      <c r="D170" s="39">
        <f t="shared" si="12"/>
        <v>9058.64</v>
      </c>
      <c r="E170" s="84">
        <v>38168.11</v>
      </c>
      <c r="F170" s="91"/>
      <c r="G170" s="26">
        <v>0</v>
      </c>
      <c r="H170" s="39">
        <f t="shared" si="11"/>
        <v>-37408.160000000003</v>
      </c>
      <c r="I170" s="84">
        <v>37408.160000000003</v>
      </c>
    </row>
    <row r="171" spans="1:9">
      <c r="A171" s="36" t="s">
        <v>274</v>
      </c>
      <c r="B171" s="54" t="s">
        <v>275</v>
      </c>
      <c r="C171" s="26">
        <v>825.05</v>
      </c>
      <c r="D171" s="39">
        <f t="shared" si="12"/>
        <v>-79.610000000000014</v>
      </c>
      <c r="E171" s="84">
        <v>904.66</v>
      </c>
      <c r="F171" s="91"/>
      <c r="G171" s="26">
        <v>0</v>
      </c>
      <c r="H171" s="39">
        <f t="shared" si="11"/>
        <v>-2046.62</v>
      </c>
      <c r="I171" s="84">
        <v>2046.62</v>
      </c>
    </row>
    <row r="172" spans="1:9">
      <c r="A172" s="36" t="s">
        <v>276</v>
      </c>
      <c r="B172" s="54" t="s">
        <v>277</v>
      </c>
      <c r="C172" s="26">
        <v>721.43</v>
      </c>
      <c r="D172" s="39">
        <f t="shared" si="12"/>
        <v>-48.190000000000055</v>
      </c>
      <c r="E172" s="84">
        <v>769.62</v>
      </c>
      <c r="F172" s="91"/>
      <c r="G172" s="26">
        <v>0</v>
      </c>
      <c r="H172" s="39">
        <f t="shared" si="11"/>
        <v>-5888.35</v>
      </c>
      <c r="I172" s="84">
        <v>5888.35</v>
      </c>
    </row>
    <row r="173" spans="1:9">
      <c r="A173" s="36" t="s">
        <v>278</v>
      </c>
      <c r="B173" s="54" t="s">
        <v>279</v>
      </c>
      <c r="C173" s="26">
        <v>4452.03</v>
      </c>
      <c r="D173" s="39">
        <f t="shared" si="12"/>
        <v>-162.07000000000062</v>
      </c>
      <c r="E173" s="84">
        <v>4614.1000000000004</v>
      </c>
      <c r="F173" s="91"/>
      <c r="G173" s="26">
        <v>0</v>
      </c>
      <c r="H173" s="39">
        <f t="shared" si="11"/>
        <v>-9134.1200000000008</v>
      </c>
      <c r="I173" s="84">
        <v>9134.1200000000008</v>
      </c>
    </row>
    <row r="174" spans="1:9">
      <c r="A174" s="36" t="s">
        <v>280</v>
      </c>
      <c r="B174" s="54" t="s">
        <v>281</v>
      </c>
      <c r="C174" s="26">
        <v>1025.57</v>
      </c>
      <c r="D174" s="39">
        <f t="shared" si="12"/>
        <v>399.78</v>
      </c>
      <c r="E174" s="84">
        <v>625.79</v>
      </c>
      <c r="F174" s="91"/>
      <c r="G174" s="26">
        <v>0</v>
      </c>
      <c r="H174" s="39">
        <f t="shared" si="11"/>
        <v>-2394.1</v>
      </c>
      <c r="I174" s="84">
        <v>2394.1</v>
      </c>
    </row>
    <row r="175" spans="1:9">
      <c r="A175" s="36" t="s">
        <v>282</v>
      </c>
      <c r="B175" s="54" t="s">
        <v>283</v>
      </c>
      <c r="C175" s="26">
        <v>1964.81</v>
      </c>
      <c r="D175" s="39">
        <f t="shared" si="12"/>
        <v>1588.48</v>
      </c>
      <c r="E175" s="84">
        <v>376.33</v>
      </c>
      <c r="F175" s="91"/>
      <c r="G175" s="26">
        <v>0</v>
      </c>
      <c r="H175" s="39">
        <f t="shared" si="11"/>
        <v>-5031.43</v>
      </c>
      <c r="I175" s="84">
        <v>5031.43</v>
      </c>
    </row>
    <row r="176" spans="1:9">
      <c r="A176" s="36" t="s">
        <v>284</v>
      </c>
      <c r="B176" s="54" t="s">
        <v>285</v>
      </c>
      <c r="C176" s="26">
        <v>745.7</v>
      </c>
      <c r="D176" s="39">
        <f t="shared" si="12"/>
        <v>285.57000000000005</v>
      </c>
      <c r="E176" s="84">
        <v>460.13</v>
      </c>
      <c r="F176" s="91"/>
      <c r="G176" s="26">
        <v>0</v>
      </c>
      <c r="H176" s="39">
        <f t="shared" si="11"/>
        <v>-3421.1</v>
      </c>
      <c r="I176" s="84">
        <v>3421.1</v>
      </c>
    </row>
    <row r="177" spans="1:9">
      <c r="A177" s="36" t="s">
        <v>286</v>
      </c>
      <c r="B177" s="54" t="s">
        <v>287</v>
      </c>
      <c r="C177" s="26">
        <v>4036.66</v>
      </c>
      <c r="D177" s="39">
        <f t="shared" si="12"/>
        <v>415.48</v>
      </c>
      <c r="E177" s="84">
        <v>3621.18</v>
      </c>
      <c r="F177" s="91"/>
      <c r="G177" s="26">
        <v>0</v>
      </c>
      <c r="H177" s="39">
        <f t="shared" si="11"/>
        <v>-7487.98</v>
      </c>
      <c r="I177" s="84">
        <v>7487.98</v>
      </c>
    </row>
    <row r="178" spans="1:9">
      <c r="A178" s="36" t="s">
        <v>288</v>
      </c>
      <c r="B178" s="54" t="s">
        <v>289</v>
      </c>
      <c r="C178" s="26">
        <v>856.67</v>
      </c>
      <c r="D178" s="39">
        <f t="shared" si="12"/>
        <v>403.84999999999997</v>
      </c>
      <c r="E178" s="84">
        <v>452.82</v>
      </c>
      <c r="F178" s="91"/>
      <c r="G178" s="26">
        <v>0</v>
      </c>
      <c r="H178" s="39">
        <f t="shared" si="11"/>
        <v>-5885.26</v>
      </c>
      <c r="I178" s="84">
        <v>5885.26</v>
      </c>
    </row>
    <row r="179" spans="1:9">
      <c r="A179" s="36" t="s">
        <v>290</v>
      </c>
      <c r="B179" s="54" t="s">
        <v>291</v>
      </c>
      <c r="C179" s="26">
        <v>5628.68</v>
      </c>
      <c r="D179" s="39">
        <f t="shared" si="12"/>
        <v>-662.48999999999978</v>
      </c>
      <c r="E179" s="84">
        <v>6291.17</v>
      </c>
      <c r="F179" s="91"/>
      <c r="G179" s="26">
        <v>0</v>
      </c>
      <c r="H179" s="39">
        <f t="shared" si="11"/>
        <v>-2877.05</v>
      </c>
      <c r="I179" s="84">
        <v>2877.05</v>
      </c>
    </row>
    <row r="180" spans="1:9">
      <c r="A180" s="36" t="s">
        <v>292</v>
      </c>
      <c r="B180" s="54" t="s">
        <v>408</v>
      </c>
      <c r="C180" s="26">
        <v>695.98</v>
      </c>
      <c r="D180" s="39">
        <f t="shared" si="12"/>
        <v>-5.7899999999999636</v>
      </c>
      <c r="E180" s="84">
        <v>701.77</v>
      </c>
      <c r="F180" s="91"/>
      <c r="G180" s="26">
        <v>0</v>
      </c>
      <c r="H180" s="39">
        <f t="shared" si="11"/>
        <v>-1873.5</v>
      </c>
      <c r="I180" s="84">
        <v>1873.5</v>
      </c>
    </row>
    <row r="181" spans="1:9">
      <c r="A181" s="36" t="s">
        <v>293</v>
      </c>
      <c r="B181" s="54" t="s">
        <v>294</v>
      </c>
      <c r="C181" s="26">
        <v>2060.31</v>
      </c>
      <c r="D181" s="39">
        <f t="shared" si="12"/>
        <v>-1893.2200000000003</v>
      </c>
      <c r="E181" s="84">
        <v>3953.53</v>
      </c>
      <c r="F181" s="91"/>
      <c r="G181" s="26">
        <v>0</v>
      </c>
      <c r="H181" s="39">
        <f t="shared" si="11"/>
        <v>-3480.15</v>
      </c>
      <c r="I181" s="84">
        <v>3480.15</v>
      </c>
    </row>
    <row r="182" spans="1:9">
      <c r="A182" s="36" t="s">
        <v>295</v>
      </c>
      <c r="B182" s="54" t="s">
        <v>296</v>
      </c>
      <c r="C182" s="26">
        <v>1084.79</v>
      </c>
      <c r="D182" s="39">
        <f t="shared" si="12"/>
        <v>367.62</v>
      </c>
      <c r="E182" s="84">
        <v>717.17</v>
      </c>
      <c r="F182" s="91"/>
      <c r="G182" s="26">
        <v>0</v>
      </c>
      <c r="H182" s="39">
        <f t="shared" si="11"/>
        <v>-4522.8599999999997</v>
      </c>
      <c r="I182" s="84">
        <v>4522.8599999999997</v>
      </c>
    </row>
    <row r="183" spans="1:9">
      <c r="A183" s="36" t="s">
        <v>297</v>
      </c>
      <c r="B183" s="54" t="s">
        <v>405</v>
      </c>
      <c r="C183" s="26">
        <v>3074.15</v>
      </c>
      <c r="D183" s="39">
        <f t="shared" si="12"/>
        <v>-3038.97</v>
      </c>
      <c r="E183" s="84">
        <v>6113.12</v>
      </c>
      <c r="F183" s="91"/>
      <c r="G183" s="26">
        <v>0</v>
      </c>
      <c r="H183" s="39">
        <f t="shared" si="11"/>
        <v>-6922.06</v>
      </c>
      <c r="I183" s="84">
        <v>6922.06</v>
      </c>
    </row>
    <row r="184" spans="1:9">
      <c r="A184" s="27" t="s">
        <v>298</v>
      </c>
      <c r="B184" s="24" t="s">
        <v>299</v>
      </c>
      <c r="C184" s="43">
        <f>SUM(C185:C191)</f>
        <v>0</v>
      </c>
      <c r="D184" s="18">
        <f>SUM(D185:D191)</f>
        <v>-2458.4699999999998</v>
      </c>
      <c r="E184" s="43">
        <f>SUM(E185:E191)</f>
        <v>2458.4699999999998</v>
      </c>
      <c r="G184" s="43">
        <f>SUM(G185:G191)</f>
        <v>0</v>
      </c>
      <c r="H184" s="18">
        <f>SUM(H185:H191)</f>
        <v>-17500</v>
      </c>
      <c r="I184" s="43">
        <f>SUM(I185:I191)</f>
        <v>17500</v>
      </c>
    </row>
    <row r="185" spans="1:9">
      <c r="A185" s="25" t="s">
        <v>300</v>
      </c>
      <c r="B185" s="20" t="s">
        <v>301</v>
      </c>
      <c r="C185" s="22">
        <v>0</v>
      </c>
      <c r="D185" s="21">
        <f t="shared" ref="D185:D191" si="13">-E185+C185</f>
        <v>0</v>
      </c>
      <c r="E185" s="26">
        <v>0</v>
      </c>
      <c r="F185" s="91"/>
      <c r="G185" s="22">
        <v>0</v>
      </c>
      <c r="H185" s="21">
        <f t="shared" ref="H185:H191" si="14">-I185+G185</f>
        <v>-2500</v>
      </c>
      <c r="I185" s="26">
        <v>2500</v>
      </c>
    </row>
    <row r="186" spans="1:9">
      <c r="A186" s="25" t="s">
        <v>302</v>
      </c>
      <c r="B186" s="20" t="s">
        <v>303</v>
      </c>
      <c r="C186" s="22">
        <v>0</v>
      </c>
      <c r="D186" s="21">
        <f t="shared" si="13"/>
        <v>-813.8</v>
      </c>
      <c r="E186" s="26">
        <v>813.8</v>
      </c>
      <c r="F186" s="91"/>
      <c r="G186" s="22">
        <v>0</v>
      </c>
      <c r="H186" s="21">
        <f t="shared" si="14"/>
        <v>-2500</v>
      </c>
      <c r="I186" s="26">
        <v>2500</v>
      </c>
    </row>
    <row r="187" spans="1:9">
      <c r="A187" s="25" t="s">
        <v>304</v>
      </c>
      <c r="B187" s="29" t="s">
        <v>603</v>
      </c>
      <c r="C187" s="22">
        <v>0</v>
      </c>
      <c r="D187" s="21">
        <f t="shared" si="13"/>
        <v>-131.02000000000001</v>
      </c>
      <c r="E187" s="26">
        <v>131.02000000000001</v>
      </c>
      <c r="F187" s="91"/>
      <c r="G187" s="22">
        <v>0</v>
      </c>
      <c r="H187" s="21">
        <f t="shared" si="14"/>
        <v>-2500</v>
      </c>
      <c r="I187" s="26">
        <v>2500</v>
      </c>
    </row>
    <row r="188" spans="1:9">
      <c r="A188" s="25" t="s">
        <v>305</v>
      </c>
      <c r="B188" s="20" t="s">
        <v>306</v>
      </c>
      <c r="C188" s="22">
        <v>0</v>
      </c>
      <c r="D188" s="21">
        <f t="shared" si="13"/>
        <v>-399.92</v>
      </c>
      <c r="E188" s="26">
        <v>399.92</v>
      </c>
      <c r="F188" s="91"/>
      <c r="G188" s="22">
        <v>0</v>
      </c>
      <c r="H188" s="21">
        <f t="shared" si="14"/>
        <v>-2500</v>
      </c>
      <c r="I188" s="26">
        <v>2500</v>
      </c>
    </row>
    <row r="189" spans="1:9">
      <c r="A189" s="25" t="s">
        <v>307</v>
      </c>
      <c r="B189" s="20" t="s">
        <v>308</v>
      </c>
      <c r="C189" s="22">
        <v>0</v>
      </c>
      <c r="D189" s="21">
        <f t="shared" si="13"/>
        <v>-834.42</v>
      </c>
      <c r="E189" s="26">
        <v>834.42</v>
      </c>
      <c r="F189" s="91"/>
      <c r="G189" s="22">
        <v>0</v>
      </c>
      <c r="H189" s="21">
        <f t="shared" si="14"/>
        <v>-2500</v>
      </c>
      <c r="I189" s="26">
        <v>2500</v>
      </c>
    </row>
    <row r="190" spans="1:9">
      <c r="A190" s="25" t="s">
        <v>309</v>
      </c>
      <c r="B190" s="20" t="s">
        <v>310</v>
      </c>
      <c r="C190" s="22">
        <v>0</v>
      </c>
      <c r="D190" s="21">
        <f t="shared" si="13"/>
        <v>-108.37</v>
      </c>
      <c r="E190" s="26">
        <v>108.37</v>
      </c>
      <c r="F190" s="91"/>
      <c r="G190" s="22">
        <v>0</v>
      </c>
      <c r="H190" s="21">
        <f t="shared" si="14"/>
        <v>-2500</v>
      </c>
      <c r="I190" s="26">
        <v>2500</v>
      </c>
    </row>
    <row r="191" spans="1:9">
      <c r="A191" s="25" t="s">
        <v>420</v>
      </c>
      <c r="B191" s="20" t="s">
        <v>604</v>
      </c>
      <c r="C191" s="22">
        <v>0</v>
      </c>
      <c r="D191" s="21">
        <f t="shared" si="13"/>
        <v>-170.94</v>
      </c>
      <c r="E191" s="26">
        <v>170.94</v>
      </c>
      <c r="F191" s="91"/>
      <c r="G191" s="22">
        <v>0</v>
      </c>
      <c r="H191" s="21">
        <f t="shared" si="14"/>
        <v>-2500</v>
      </c>
      <c r="I191" s="26">
        <v>2500</v>
      </c>
    </row>
    <row r="192" spans="1:9">
      <c r="A192" s="27" t="s">
        <v>311</v>
      </c>
      <c r="B192" s="24" t="s">
        <v>312</v>
      </c>
      <c r="C192" s="43">
        <f>SUM(C193:C194)</f>
        <v>0</v>
      </c>
      <c r="D192" s="18">
        <f>SUM(D193:D194)</f>
        <v>-1834.56</v>
      </c>
      <c r="E192" s="43">
        <f>SUM(E193:E194)</f>
        <v>1834.56</v>
      </c>
      <c r="F192" s="91"/>
      <c r="G192" s="43">
        <f>SUM(G193:G194)</f>
        <v>0</v>
      </c>
      <c r="H192" s="18">
        <f>SUM(H193:H194)</f>
        <v>-60000</v>
      </c>
      <c r="I192" s="43">
        <f>SUM(I193:I194)</f>
        <v>60000</v>
      </c>
    </row>
    <row r="193" spans="1:9">
      <c r="A193" s="25" t="s">
        <v>313</v>
      </c>
      <c r="B193" s="20" t="s">
        <v>314</v>
      </c>
      <c r="C193" s="22">
        <v>0</v>
      </c>
      <c r="D193" s="21">
        <f>-E193+C193</f>
        <v>-1834.56</v>
      </c>
      <c r="E193" s="26">
        <v>1834.56</v>
      </c>
      <c r="F193" s="91"/>
      <c r="G193" s="22">
        <v>0</v>
      </c>
      <c r="H193" s="21">
        <f>-I193+G193</f>
        <v>-50000</v>
      </c>
      <c r="I193" s="26">
        <v>50000</v>
      </c>
    </row>
    <row r="194" spans="1:9">
      <c r="A194" s="25" t="s">
        <v>315</v>
      </c>
      <c r="B194" s="20" t="s">
        <v>316</v>
      </c>
      <c r="C194" s="22">
        <v>0</v>
      </c>
      <c r="D194" s="21">
        <f>-E194+C194</f>
        <v>0</v>
      </c>
      <c r="E194" s="26">
        <v>0</v>
      </c>
      <c r="F194" s="91"/>
      <c r="G194" s="22">
        <v>0</v>
      </c>
      <c r="H194" s="21">
        <f>-I194+G194</f>
        <v>-10000</v>
      </c>
      <c r="I194" s="26">
        <v>10000</v>
      </c>
    </row>
    <row r="195" spans="1:9" ht="21">
      <c r="A195" s="32" t="s">
        <v>317</v>
      </c>
      <c r="B195" s="33" t="s">
        <v>318</v>
      </c>
      <c r="C195" s="34">
        <f>C196</f>
        <v>0</v>
      </c>
      <c r="D195" s="35">
        <f>D196</f>
        <v>0</v>
      </c>
      <c r="E195" s="34">
        <f>E196</f>
        <v>0</v>
      </c>
      <c r="F195" s="91"/>
      <c r="G195" s="34">
        <f>G196</f>
        <v>0</v>
      </c>
      <c r="H195" s="35">
        <f>H196</f>
        <v>-975</v>
      </c>
      <c r="I195" s="34">
        <f>I196</f>
        <v>975</v>
      </c>
    </row>
    <row r="196" spans="1:9">
      <c r="A196" s="27" t="s">
        <v>319</v>
      </c>
      <c r="B196" s="16" t="s">
        <v>320</v>
      </c>
      <c r="C196" s="43">
        <f>SUM(C197:C199)</f>
        <v>0</v>
      </c>
      <c r="D196" s="18">
        <f>SUM(D197:D199)</f>
        <v>0</v>
      </c>
      <c r="E196" s="43">
        <f>SUM(E197:E199)</f>
        <v>0</v>
      </c>
      <c r="F196" s="91"/>
      <c r="G196" s="43">
        <f>SUM(G197:G199)</f>
        <v>0</v>
      </c>
      <c r="H196" s="18">
        <f>SUM(H197:H199)</f>
        <v>-975</v>
      </c>
      <c r="I196" s="43">
        <f>SUM(I197:I199)</f>
        <v>975</v>
      </c>
    </row>
    <row r="197" spans="1:9">
      <c r="A197" s="25" t="s">
        <v>321</v>
      </c>
      <c r="B197" s="20" t="s">
        <v>322</v>
      </c>
      <c r="C197" s="22">
        <v>0</v>
      </c>
      <c r="D197" s="21">
        <f>-E197+C197</f>
        <v>0</v>
      </c>
      <c r="E197" s="22">
        <v>0</v>
      </c>
      <c r="F197" s="91"/>
      <c r="G197" s="22">
        <v>0</v>
      </c>
      <c r="H197" s="21">
        <f>-I197+G197</f>
        <v>-325</v>
      </c>
      <c r="I197" s="22">
        <v>325</v>
      </c>
    </row>
    <row r="198" spans="1:9">
      <c r="A198" s="25" t="s">
        <v>323</v>
      </c>
      <c r="B198" s="20" t="s">
        <v>324</v>
      </c>
      <c r="C198" s="22">
        <v>0</v>
      </c>
      <c r="D198" s="21">
        <f>-E198+C198</f>
        <v>0</v>
      </c>
      <c r="E198" s="22">
        <v>0</v>
      </c>
      <c r="F198" s="91"/>
      <c r="G198" s="22">
        <v>0</v>
      </c>
      <c r="H198" s="21">
        <f>-I198+G198</f>
        <v>-325</v>
      </c>
      <c r="I198" s="22">
        <v>325</v>
      </c>
    </row>
    <row r="199" spans="1:9">
      <c r="A199" s="25" t="s">
        <v>325</v>
      </c>
      <c r="B199" s="20" t="s">
        <v>326</v>
      </c>
      <c r="C199" s="22">
        <v>0</v>
      </c>
      <c r="D199" s="21">
        <f>-E199+C199</f>
        <v>0</v>
      </c>
      <c r="E199" s="26">
        <v>0</v>
      </c>
      <c r="F199" s="91"/>
      <c r="G199" s="22">
        <v>0</v>
      </c>
      <c r="H199" s="21">
        <f>-I199+G199</f>
        <v>-325</v>
      </c>
      <c r="I199" s="26">
        <v>325</v>
      </c>
    </row>
    <row r="200" spans="1:9" ht="21">
      <c r="A200" s="58" t="s">
        <v>327</v>
      </c>
      <c r="B200" s="33" t="s">
        <v>328</v>
      </c>
      <c r="C200" s="88">
        <f t="shared" ref="C200:I201" si="15">SUM(C201)</f>
        <v>0</v>
      </c>
      <c r="D200" s="89">
        <f t="shared" si="15"/>
        <v>0</v>
      </c>
      <c r="E200" s="90">
        <f t="shared" si="15"/>
        <v>0</v>
      </c>
      <c r="F200" s="91"/>
      <c r="G200" s="88">
        <f t="shared" si="15"/>
        <v>0</v>
      </c>
      <c r="H200" s="89">
        <f t="shared" si="15"/>
        <v>-12990.44</v>
      </c>
      <c r="I200" s="90">
        <f t="shared" si="15"/>
        <v>12990.44</v>
      </c>
    </row>
    <row r="201" spans="1:9">
      <c r="A201" s="27" t="s">
        <v>327</v>
      </c>
      <c r="B201" s="16" t="s">
        <v>328</v>
      </c>
      <c r="C201" s="43">
        <f t="shared" si="15"/>
        <v>0</v>
      </c>
      <c r="D201" s="18">
        <f t="shared" si="15"/>
        <v>0</v>
      </c>
      <c r="E201" s="43">
        <f t="shared" si="15"/>
        <v>0</v>
      </c>
      <c r="F201" s="91"/>
      <c r="G201" s="43">
        <f t="shared" si="15"/>
        <v>0</v>
      </c>
      <c r="H201" s="18">
        <f t="shared" si="15"/>
        <v>-12990.44</v>
      </c>
      <c r="I201" s="43">
        <f t="shared" si="15"/>
        <v>12990.44</v>
      </c>
    </row>
    <row r="202" spans="1:9">
      <c r="A202" s="25" t="s">
        <v>329</v>
      </c>
      <c r="B202" s="20" t="s">
        <v>328</v>
      </c>
      <c r="C202" s="26">
        <v>0</v>
      </c>
      <c r="D202" s="21">
        <f>-E202+C202</f>
        <v>0</v>
      </c>
      <c r="E202" s="96">
        <v>0</v>
      </c>
      <c r="F202" s="91"/>
      <c r="G202" s="26">
        <v>0</v>
      </c>
      <c r="H202" s="21">
        <f>-I202+G202</f>
        <v>-12990.44</v>
      </c>
      <c r="I202" s="96">
        <f>12990.44</f>
        <v>12990.44</v>
      </c>
    </row>
    <row r="203" spans="1:9">
      <c r="E203" s="59"/>
      <c r="I203" s="59"/>
    </row>
    <row r="204" spans="1:9">
      <c r="A204" s="4"/>
      <c r="B204" s="6" t="s">
        <v>330</v>
      </c>
      <c r="C204" s="60">
        <f>SUM(C200,C195,C150,C116,C105,C70,C62,C31,C7)</f>
        <v>1186300.25</v>
      </c>
      <c r="D204" s="61">
        <f>SUM(D200,D195,D150,D116,D105,D70,D62,D31,D7)</f>
        <v>560010.57999999996</v>
      </c>
      <c r="E204" s="62">
        <f>SUM(E200,E195,E150,E116,E105,E70,E62,E31,E7)</f>
        <v>626289.66999999993</v>
      </c>
      <c r="G204" s="60">
        <f>SUM(G200,G195,G150,G116,G105,G70,G62,G31,G7)</f>
        <v>1023380.59</v>
      </c>
      <c r="H204" s="61">
        <f>SUM(H200,H195,H150,H116,H105,H70,H62,H31,H7)</f>
        <v>3.9999999571591616E-3</v>
      </c>
      <c r="I204" s="62">
        <f>SUM(I200,I195,I150,I116,I105,I70,I62,I31,I7)</f>
        <v>1023380.586</v>
      </c>
    </row>
  </sheetData>
  <mergeCells count="2">
    <mergeCell ref="C4:E4"/>
    <mergeCell ref="G4:I4"/>
  </mergeCells>
  <pageMargins left="0.7" right="0.7" top="0.78740157499999996" bottom="0.78740157499999996" header="0.3" footer="0.3"/>
  <pageSetup paperSize="9" scale="4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90" zoomScaleNormal="90" workbookViewId="0">
      <selection activeCell="J12" sqref="J12"/>
    </sheetView>
  </sheetViews>
  <sheetFormatPr baseColWidth="10" defaultRowHeight="15"/>
  <cols>
    <col min="2" max="2" width="30.85546875" bestFit="1" customWidth="1"/>
    <col min="3" max="3" width="15.28515625" bestFit="1" customWidth="1"/>
    <col min="4" max="4" width="14.7109375" bestFit="1" customWidth="1"/>
    <col min="5" max="5" width="14.42578125" bestFit="1" customWidth="1"/>
    <col min="7" max="7" width="15.5703125" bestFit="1" customWidth="1"/>
    <col min="8" max="8" width="14.7109375" bestFit="1" customWidth="1"/>
    <col min="9" max="9" width="15.5703125" bestFit="1" customWidth="1"/>
  </cols>
  <sheetData>
    <row r="1" spans="1:9" ht="23.25">
      <c r="A1" s="68" t="s">
        <v>337</v>
      </c>
    </row>
    <row r="2" spans="1:9">
      <c r="A2" s="69" t="s">
        <v>932</v>
      </c>
    </row>
    <row r="3" spans="1:9">
      <c r="A3" s="5"/>
      <c r="B3" s="2"/>
      <c r="C3" s="3" t="s">
        <v>0</v>
      </c>
      <c r="D3" s="4"/>
      <c r="E3" s="6" t="s">
        <v>1</v>
      </c>
      <c r="G3" s="3" t="s">
        <v>0</v>
      </c>
      <c r="H3" s="4"/>
      <c r="I3" s="6" t="s">
        <v>1</v>
      </c>
    </row>
    <row r="4" spans="1:9">
      <c r="A4" s="5"/>
      <c r="B4" s="2"/>
      <c r="C4" s="95">
        <v>37671</v>
      </c>
      <c r="D4" s="4"/>
      <c r="E4" s="87">
        <v>0</v>
      </c>
      <c r="G4" s="95">
        <v>30000</v>
      </c>
      <c r="H4" s="4"/>
      <c r="I4" s="87">
        <v>0</v>
      </c>
    </row>
    <row r="5" spans="1:9" ht="21">
      <c r="A5" s="8"/>
      <c r="B5" s="8"/>
      <c r="C5" s="176" t="s">
        <v>933</v>
      </c>
      <c r="D5" s="176"/>
      <c r="E5" s="176"/>
      <c r="G5" s="176" t="s">
        <v>921</v>
      </c>
      <c r="H5" s="176"/>
      <c r="I5" s="176"/>
    </row>
    <row r="6" spans="1:9" ht="21">
      <c r="A6" s="9" t="s">
        <v>2</v>
      </c>
      <c r="B6" s="10" t="s">
        <v>3</v>
      </c>
      <c r="C6" s="11" t="s">
        <v>4</v>
      </c>
      <c r="D6" s="12" t="s">
        <v>5</v>
      </c>
      <c r="E6" s="11" t="s">
        <v>6</v>
      </c>
      <c r="G6" s="11" t="s">
        <v>4</v>
      </c>
      <c r="H6" s="12" t="s">
        <v>5</v>
      </c>
      <c r="I6" s="11" t="s">
        <v>6</v>
      </c>
    </row>
    <row r="8" spans="1:9" ht="21">
      <c r="A8" s="32" t="s">
        <v>338</v>
      </c>
      <c r="B8" s="33" t="s">
        <v>339</v>
      </c>
      <c r="C8" s="34">
        <f>C9+C11+C19+C25</f>
        <v>8318146.120000001</v>
      </c>
      <c r="D8" s="42">
        <f>D9+D11+D19+D25</f>
        <v>3833548.4400000009</v>
      </c>
      <c r="E8" s="34">
        <f>E9+E11+E19+E25</f>
        <v>4484597.68</v>
      </c>
      <c r="G8" s="34">
        <f>G9+G11+G19+G25</f>
        <v>10851559</v>
      </c>
      <c r="H8" s="42">
        <f>H9+H11+H19+H25</f>
        <v>4.6566128730773926E-10</v>
      </c>
      <c r="I8" s="34">
        <f>I9+I11+I19+I25</f>
        <v>10851559</v>
      </c>
    </row>
    <row r="9" spans="1:9">
      <c r="A9" s="15" t="s">
        <v>340</v>
      </c>
      <c r="B9" s="16" t="s">
        <v>341</v>
      </c>
      <c r="C9" s="17">
        <f>SUM(C10)</f>
        <v>657559</v>
      </c>
      <c r="D9" s="17">
        <f>SUM(D10)</f>
        <v>657559</v>
      </c>
      <c r="E9" s="17">
        <f>SUM(E10)</f>
        <v>0</v>
      </c>
      <c r="G9" s="17">
        <f>SUM(G10)</f>
        <v>657559</v>
      </c>
      <c r="H9" s="17">
        <f>SUM(H10)</f>
        <v>657559</v>
      </c>
      <c r="I9" s="17">
        <f>SUM(I10)</f>
        <v>0</v>
      </c>
    </row>
    <row r="10" spans="1:9">
      <c r="A10" s="19" t="s">
        <v>342</v>
      </c>
      <c r="B10" s="20" t="s">
        <v>11</v>
      </c>
      <c r="C10" s="96">
        <v>657559</v>
      </c>
      <c r="D10" s="70">
        <f>-E10+C10</f>
        <v>657559</v>
      </c>
      <c r="E10" s="22">
        <v>0</v>
      </c>
      <c r="G10" s="96">
        <v>657559</v>
      </c>
      <c r="H10" s="70">
        <f>-I10+G10</f>
        <v>657559</v>
      </c>
      <c r="I10" s="22">
        <v>0</v>
      </c>
    </row>
    <row r="11" spans="1:9">
      <c r="A11" s="27" t="s">
        <v>343</v>
      </c>
      <c r="B11" s="16" t="s">
        <v>52</v>
      </c>
      <c r="C11" s="17">
        <f>SUM(C12:C18)</f>
        <v>7660587.120000001</v>
      </c>
      <c r="D11" s="17">
        <f>SUM(D12:D18)</f>
        <v>3175989.4400000009</v>
      </c>
      <c r="E11" s="17">
        <f>SUM(E12:E18)</f>
        <v>4484597.68</v>
      </c>
      <c r="G11" s="17">
        <f>SUM(G12:G18)</f>
        <v>10194000</v>
      </c>
      <c r="H11" s="17">
        <f>SUM(H12:H18)</f>
        <v>-657558.99999999953</v>
      </c>
      <c r="I11" s="17">
        <f>SUM(I12:I18)</f>
        <v>10851559</v>
      </c>
    </row>
    <row r="12" spans="1:9">
      <c r="A12" s="25" t="s">
        <v>344</v>
      </c>
      <c r="B12" s="20" t="s">
        <v>345</v>
      </c>
      <c r="C12" s="26">
        <v>2985600</v>
      </c>
      <c r="D12" s="70">
        <f t="shared" ref="D12:D18" si="0">-E12+C12</f>
        <v>2985600</v>
      </c>
      <c r="E12" s="22">
        <v>0</v>
      </c>
      <c r="G12" s="26">
        <v>2985600</v>
      </c>
      <c r="H12" s="70">
        <f t="shared" ref="H12:H13" si="1">-I12+G12</f>
        <v>2985600</v>
      </c>
      <c r="I12" s="22">
        <v>0</v>
      </c>
    </row>
    <row r="13" spans="1:9">
      <c r="A13" s="25" t="s">
        <v>346</v>
      </c>
      <c r="B13" s="20" t="s">
        <v>347</v>
      </c>
      <c r="C13" s="26">
        <v>1092000</v>
      </c>
      <c r="D13" s="70">
        <f t="shared" si="0"/>
        <v>1092000</v>
      </c>
      <c r="E13" s="22">
        <v>0</v>
      </c>
      <c r="G13" s="26">
        <v>1092000</v>
      </c>
      <c r="H13" s="70">
        <f t="shared" si="1"/>
        <v>1092000</v>
      </c>
      <c r="I13" s="22">
        <v>0</v>
      </c>
    </row>
    <row r="14" spans="1:9">
      <c r="A14" s="25" t="s">
        <v>348</v>
      </c>
      <c r="B14" s="37" t="s">
        <v>436</v>
      </c>
      <c r="C14" s="96">
        <v>2623446.7200000002</v>
      </c>
      <c r="D14" s="99">
        <f>-E14+C14</f>
        <v>2623446.7200000002</v>
      </c>
      <c r="E14" s="96">
        <v>0</v>
      </c>
      <c r="G14" s="96">
        <f>G4*149.28</f>
        <v>4478400</v>
      </c>
      <c r="H14" s="99">
        <f>-I14+G14</f>
        <v>4478400</v>
      </c>
      <c r="I14" s="96">
        <v>0</v>
      </c>
    </row>
    <row r="15" spans="1:9">
      <c r="A15" s="25" t="s">
        <v>348</v>
      </c>
      <c r="B15" s="37" t="s">
        <v>437</v>
      </c>
      <c r="C15" s="96">
        <v>0</v>
      </c>
      <c r="D15" s="99">
        <f>-E15+C15</f>
        <v>-2608888.7799999998</v>
      </c>
      <c r="E15" s="96">
        <v>2608888.7799999998</v>
      </c>
      <c r="G15" s="96">
        <v>0</v>
      </c>
      <c r="H15" s="99">
        <f>-I15+G15</f>
        <v>-7923495.818716892</v>
      </c>
      <c r="I15" s="96">
        <f>G14+G12+(G10*149.28/203.88)-(I18*149.28/203.88)</f>
        <v>7923495.818716892</v>
      </c>
    </row>
    <row r="16" spans="1:9">
      <c r="A16" s="25" t="s">
        <v>350</v>
      </c>
      <c r="B16" s="37" t="s">
        <v>438</v>
      </c>
      <c r="C16" s="96">
        <v>959540.4</v>
      </c>
      <c r="D16" s="99">
        <f t="shared" si="0"/>
        <v>959540.4</v>
      </c>
      <c r="E16" s="96">
        <v>0</v>
      </c>
      <c r="G16" s="96">
        <f>G4*54.6</f>
        <v>1638000</v>
      </c>
      <c r="H16" s="99">
        <f t="shared" ref="H16" si="2">-I16+G16</f>
        <v>1638000</v>
      </c>
      <c r="I16" s="96">
        <v>0</v>
      </c>
    </row>
    <row r="17" spans="1:9">
      <c r="A17" s="25" t="s">
        <v>350</v>
      </c>
      <c r="B17" s="37" t="s">
        <v>439</v>
      </c>
      <c r="C17" s="96">
        <v>0</v>
      </c>
      <c r="D17" s="99">
        <f>-E17+C17</f>
        <v>-1841253.18</v>
      </c>
      <c r="E17" s="96">
        <v>1841253.18</v>
      </c>
      <c r="G17" s="96">
        <v>0</v>
      </c>
      <c r="H17" s="99">
        <f>-I17+G17</f>
        <v>-2898063.1812831075</v>
      </c>
      <c r="I17" s="96">
        <f>G16+G13+(G10*54.6/203.88)-(I18*54.6/203.88)</f>
        <v>2898063.1812831075</v>
      </c>
    </row>
    <row r="18" spans="1:9">
      <c r="A18" s="25" t="s">
        <v>352</v>
      </c>
      <c r="B18" s="37" t="s">
        <v>353</v>
      </c>
      <c r="C18" s="38">
        <v>0</v>
      </c>
      <c r="D18" s="70">
        <f t="shared" si="0"/>
        <v>-34455.72</v>
      </c>
      <c r="E18" s="26">
        <v>34455.72</v>
      </c>
      <c r="G18" s="38">
        <v>0</v>
      </c>
      <c r="H18" s="70">
        <f t="shared" ref="H18" si="3">-I18+G18</f>
        <v>-30000</v>
      </c>
      <c r="I18" s="26">
        <v>30000</v>
      </c>
    </row>
    <row r="19" spans="1:9">
      <c r="A19" s="27" t="s">
        <v>354</v>
      </c>
      <c r="B19" s="24" t="s">
        <v>54</v>
      </c>
      <c r="C19" s="17">
        <f>SUM(C20:C24)</f>
        <v>0</v>
      </c>
      <c r="D19" s="17">
        <f>SUM(D20:D24)</f>
        <v>0</v>
      </c>
      <c r="E19" s="17">
        <f>SUM(E20:E24)</f>
        <v>0</v>
      </c>
      <c r="G19" s="17">
        <f>SUM(G20:G24)</f>
        <v>0</v>
      </c>
      <c r="H19" s="17">
        <f>SUM(H20:H24)</f>
        <v>0</v>
      </c>
      <c r="I19" s="17">
        <f>SUM(I20:I24)</f>
        <v>0</v>
      </c>
    </row>
    <row r="20" spans="1:9">
      <c r="A20" s="25" t="s">
        <v>355</v>
      </c>
      <c r="B20" s="37" t="s">
        <v>349</v>
      </c>
      <c r="C20" s="96">
        <v>0</v>
      </c>
      <c r="D20" s="99">
        <f>-E20+C20</f>
        <v>0</v>
      </c>
      <c r="E20" s="96">
        <v>0</v>
      </c>
      <c r="G20" s="96">
        <v>0</v>
      </c>
      <c r="H20" s="99">
        <f>-I20+G20</f>
        <v>0</v>
      </c>
      <c r="I20" s="96">
        <v>0</v>
      </c>
    </row>
    <row r="21" spans="1:9">
      <c r="A21" s="25" t="s">
        <v>356</v>
      </c>
      <c r="B21" s="37" t="s">
        <v>351</v>
      </c>
      <c r="C21" s="96">
        <v>0</v>
      </c>
      <c r="D21" s="99">
        <f>-E21+C21</f>
        <v>0</v>
      </c>
      <c r="E21" s="96">
        <v>0</v>
      </c>
      <c r="G21" s="96">
        <v>0</v>
      </c>
      <c r="H21" s="99">
        <f>-I21+G21</f>
        <v>0</v>
      </c>
      <c r="I21" s="96">
        <v>0</v>
      </c>
    </row>
    <row r="22" spans="1:9">
      <c r="A22" s="25" t="s">
        <v>357</v>
      </c>
      <c r="B22" s="37" t="s">
        <v>345</v>
      </c>
      <c r="C22" s="22">
        <v>0</v>
      </c>
      <c r="D22" s="70">
        <f>-E22+C22</f>
        <v>0</v>
      </c>
      <c r="E22" s="22">
        <v>0</v>
      </c>
      <c r="G22" s="22">
        <v>0</v>
      </c>
      <c r="H22" s="70">
        <f>-I22+G22</f>
        <v>0</v>
      </c>
      <c r="I22" s="22">
        <v>0</v>
      </c>
    </row>
    <row r="23" spans="1:9">
      <c r="A23" s="25" t="s">
        <v>358</v>
      </c>
      <c r="B23" s="37" t="s">
        <v>347</v>
      </c>
      <c r="C23" s="22">
        <v>0</v>
      </c>
      <c r="D23" s="70">
        <f>-E23+C23</f>
        <v>0</v>
      </c>
      <c r="E23" s="22">
        <v>0</v>
      </c>
      <c r="G23" s="22">
        <v>0</v>
      </c>
      <c r="H23" s="70">
        <f>-I23+G23</f>
        <v>0</v>
      </c>
      <c r="I23" s="22">
        <v>0</v>
      </c>
    </row>
    <row r="24" spans="1:9">
      <c r="A24" s="25" t="s">
        <v>359</v>
      </c>
      <c r="B24" s="20" t="s">
        <v>353</v>
      </c>
      <c r="C24" s="22">
        <v>0</v>
      </c>
      <c r="D24" s="70">
        <f>-E24+C24</f>
        <v>0</v>
      </c>
      <c r="E24" s="26">
        <v>0</v>
      </c>
      <c r="G24" s="22">
        <v>0</v>
      </c>
      <c r="H24" s="70">
        <f>-I24+G24</f>
        <v>0</v>
      </c>
      <c r="I24" s="26">
        <v>0</v>
      </c>
    </row>
    <row r="25" spans="1:9">
      <c r="A25" s="27" t="s">
        <v>360</v>
      </c>
      <c r="B25" s="24" t="s">
        <v>56</v>
      </c>
      <c r="C25" s="17">
        <f>SUM(C26:C27)</f>
        <v>0</v>
      </c>
      <c r="D25" s="17">
        <f>SUM(D26:D27)</f>
        <v>0</v>
      </c>
      <c r="E25" s="17">
        <f>SUM(E26:E27)</f>
        <v>0</v>
      </c>
      <c r="G25" s="17">
        <f>SUM(G26:G27)</f>
        <v>0</v>
      </c>
      <c r="H25" s="17">
        <f>SUM(H26:H27)</f>
        <v>0</v>
      </c>
      <c r="I25" s="17">
        <f>SUM(I26:I27)</f>
        <v>0</v>
      </c>
    </row>
    <row r="26" spans="1:9">
      <c r="A26" s="25" t="s">
        <v>361</v>
      </c>
      <c r="B26" s="20" t="s">
        <v>362</v>
      </c>
      <c r="C26" s="22">
        <v>0</v>
      </c>
      <c r="D26" s="70">
        <f>-E26+C26</f>
        <v>0</v>
      </c>
      <c r="E26" s="22">
        <v>0</v>
      </c>
      <c r="G26" s="22">
        <v>0</v>
      </c>
      <c r="H26" s="70">
        <f>-I26+G26</f>
        <v>0</v>
      </c>
      <c r="I26" s="22">
        <v>0</v>
      </c>
    </row>
    <row r="27" spans="1:9">
      <c r="A27" s="25" t="s">
        <v>363</v>
      </c>
      <c r="B27" s="20" t="s">
        <v>364</v>
      </c>
      <c r="C27" s="22">
        <v>0</v>
      </c>
      <c r="D27" s="70">
        <f>-E27+C27</f>
        <v>0</v>
      </c>
      <c r="E27" s="22">
        <v>0</v>
      </c>
      <c r="G27" s="22">
        <v>0</v>
      </c>
      <c r="H27" s="70">
        <f>-I27+G27</f>
        <v>0</v>
      </c>
      <c r="I27" s="22">
        <v>0</v>
      </c>
    </row>
    <row r="29" spans="1:9">
      <c r="A29" s="4"/>
      <c r="B29" s="6" t="s">
        <v>330</v>
      </c>
      <c r="C29" s="60">
        <f>SUM(C9,C11,C19,C25)</f>
        <v>8318146.120000001</v>
      </c>
      <c r="D29" s="60">
        <f>SUM(D9,D11,D19,D25)</f>
        <v>3833548.4400000009</v>
      </c>
      <c r="E29" s="60">
        <f>SUM(E9,E11,E19,E25)</f>
        <v>4484597.68</v>
      </c>
      <c r="G29" s="60">
        <f>SUM(G9,G11,G19,G25)</f>
        <v>10851559</v>
      </c>
      <c r="H29" s="60">
        <f>SUM(H9,H11,H19,H25)</f>
        <v>4.6566128730773926E-10</v>
      </c>
      <c r="I29" s="60">
        <f>SUM(I9,I11,I19,I25)</f>
        <v>10851559</v>
      </c>
    </row>
  </sheetData>
  <mergeCells count="2">
    <mergeCell ref="C5:E5"/>
    <mergeCell ref="G5:I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1"/>
  <sheetViews>
    <sheetView zoomScale="80" zoomScaleNormal="80" workbookViewId="0">
      <pane ySplit="6" topLeftCell="A7" activePane="bottomLeft" state="frozen"/>
      <selection pane="bottomLeft" activeCell="B3" sqref="B3"/>
    </sheetView>
  </sheetViews>
  <sheetFormatPr baseColWidth="10" defaultColWidth="10.85546875" defaultRowHeight="15"/>
  <cols>
    <col min="1" max="1" width="6.7109375" bestFit="1" customWidth="1"/>
    <col min="2" max="2" width="77.140625" bestFit="1" customWidth="1"/>
    <col min="3" max="3" width="15.140625" customWidth="1"/>
    <col min="4" max="4" width="13.85546875" customWidth="1"/>
    <col min="5" max="5" width="15.140625" customWidth="1"/>
    <col min="6" max="6" width="4.5703125" customWidth="1"/>
    <col min="7" max="7" width="15.140625" customWidth="1"/>
    <col min="8" max="8" width="13.85546875" customWidth="1"/>
    <col min="9" max="9" width="15.140625" customWidth="1"/>
    <col min="10" max="10" width="4.5703125" customWidth="1"/>
    <col min="11" max="11" width="15.140625" customWidth="1"/>
    <col min="12" max="12" width="13.85546875" customWidth="1"/>
    <col min="13" max="13" width="15.140625" customWidth="1"/>
  </cols>
  <sheetData>
    <row r="1" spans="1:13" ht="18.75">
      <c r="A1" s="1"/>
      <c r="B1" s="2"/>
      <c r="C1" s="3"/>
      <c r="D1" s="4"/>
      <c r="E1" s="4"/>
      <c r="G1" s="3"/>
      <c r="H1" s="4"/>
      <c r="I1" s="4"/>
      <c r="K1" s="3"/>
      <c r="L1" s="4"/>
      <c r="M1" s="4"/>
    </row>
    <row r="2" spans="1:13">
      <c r="A2" s="5"/>
      <c r="B2" s="5" t="s">
        <v>935</v>
      </c>
      <c r="C2" s="3" t="s">
        <v>0</v>
      </c>
      <c r="D2" s="4"/>
      <c r="E2" s="6" t="s">
        <v>1</v>
      </c>
      <c r="G2" s="3" t="s">
        <v>0</v>
      </c>
      <c r="H2" s="4"/>
      <c r="I2" s="6" t="s">
        <v>1</v>
      </c>
      <c r="K2" s="3" t="s">
        <v>0</v>
      </c>
      <c r="L2" s="4"/>
      <c r="M2" s="6" t="s">
        <v>1</v>
      </c>
    </row>
    <row r="3" spans="1:13">
      <c r="A3" s="5"/>
      <c r="B3" s="5"/>
      <c r="C3" s="7">
        <v>36751</v>
      </c>
      <c r="D3" s="4"/>
      <c r="E3" s="87">
        <v>35404</v>
      </c>
      <c r="G3" s="7">
        <v>36500</v>
      </c>
      <c r="H3" s="4"/>
      <c r="I3" s="87">
        <v>34500</v>
      </c>
      <c r="K3" s="7">
        <v>35500</v>
      </c>
      <c r="L3" s="4"/>
      <c r="M3" s="87">
        <v>33500</v>
      </c>
    </row>
    <row r="4" spans="1:13" ht="21">
      <c r="A4" s="8"/>
      <c r="B4" s="8"/>
      <c r="C4" s="173" t="s">
        <v>915</v>
      </c>
      <c r="D4" s="174"/>
      <c r="E4" s="175"/>
      <c r="G4" s="173" t="s">
        <v>601</v>
      </c>
      <c r="H4" s="174"/>
      <c r="I4" s="175"/>
      <c r="K4" s="173" t="s">
        <v>602</v>
      </c>
      <c r="L4" s="174"/>
      <c r="M4" s="175"/>
    </row>
    <row r="5" spans="1:13" ht="21">
      <c r="A5" s="9" t="s">
        <v>2</v>
      </c>
      <c r="B5" s="10" t="s">
        <v>3</v>
      </c>
      <c r="C5" s="11" t="s">
        <v>4</v>
      </c>
      <c r="D5" s="12" t="s">
        <v>5</v>
      </c>
      <c r="E5" s="11" t="s">
        <v>6</v>
      </c>
      <c r="G5" s="11" t="s">
        <v>4</v>
      </c>
      <c r="H5" s="12" t="s">
        <v>5</v>
      </c>
      <c r="I5" s="11" t="s">
        <v>6</v>
      </c>
      <c r="K5" s="11" t="s">
        <v>4</v>
      </c>
      <c r="L5" s="12" t="s">
        <v>5</v>
      </c>
      <c r="M5" s="11" t="s">
        <v>6</v>
      </c>
    </row>
    <row r="6" spans="1:13">
      <c r="A6" s="8"/>
      <c r="B6" s="8"/>
      <c r="C6" s="8"/>
      <c r="D6" s="4"/>
      <c r="E6" s="4"/>
      <c r="G6" s="8"/>
      <c r="H6" s="4"/>
      <c r="I6" s="4"/>
      <c r="K6" s="8"/>
      <c r="L6" s="4"/>
      <c r="M6" s="4"/>
    </row>
    <row r="7" spans="1:13" ht="21">
      <c r="A7" s="9">
        <v>1</v>
      </c>
      <c r="B7" s="13" t="s">
        <v>7</v>
      </c>
      <c r="C7" s="14">
        <f>SUM(C8,C10,C13,C18,C25,C28)</f>
        <v>516185.55</v>
      </c>
      <c r="D7" s="14">
        <f>SUM(D8,D10,D13,D18,D25,D28)</f>
        <v>142112.03</v>
      </c>
      <c r="E7" s="14">
        <f>SUM(E8,E10,E13,E18,E25,E28)</f>
        <v>374073.52</v>
      </c>
      <c r="F7" s="64"/>
      <c r="G7" s="14">
        <f>SUM(G8,G10,G13,G18,G25,G28)</f>
        <v>747297.62000000011</v>
      </c>
      <c r="H7" s="14">
        <f>SUM(H8,H10,H13,H18,H25,H28)</f>
        <v>584297.62</v>
      </c>
      <c r="I7" s="14">
        <f>SUM(I8,I10,I13,I18,I25,I28)</f>
        <v>163000</v>
      </c>
      <c r="K7" s="14">
        <f>SUM(K8,K10,K13,K18,K25,K28)</f>
        <v>769472.76</v>
      </c>
      <c r="L7" s="14">
        <f>SUM(L8,L10,L13,L18,L25,L28)</f>
        <v>605972.76</v>
      </c>
      <c r="M7" s="14">
        <f>SUM(M8,M10,M13,M18,M25,M28)</f>
        <v>163500</v>
      </c>
    </row>
    <row r="8" spans="1:13">
      <c r="A8" s="15" t="s">
        <v>8</v>
      </c>
      <c r="B8" s="16" t="s">
        <v>9</v>
      </c>
      <c r="C8" s="17">
        <f>SUM(C9)</f>
        <v>431390.16</v>
      </c>
      <c r="D8" s="18">
        <f>SUM(D9)</f>
        <v>431390.16</v>
      </c>
      <c r="E8" s="17">
        <f>SUM(E9)</f>
        <v>0</v>
      </c>
      <c r="F8" s="64"/>
      <c r="G8" s="17">
        <f>SUM(G9)</f>
        <v>431390.16</v>
      </c>
      <c r="H8" s="18">
        <f>SUM(H9)</f>
        <v>431390.16</v>
      </c>
      <c r="I8" s="17">
        <f>SUM(I9)</f>
        <v>0</v>
      </c>
      <c r="K8" s="17">
        <f>SUM(K9)</f>
        <v>400000</v>
      </c>
      <c r="L8" s="18">
        <f>SUM(L9)</f>
        <v>400000</v>
      </c>
      <c r="M8" s="17">
        <f>SUM(M9)</f>
        <v>0</v>
      </c>
    </row>
    <row r="9" spans="1:13">
      <c r="A9" s="19" t="s">
        <v>10</v>
      </c>
      <c r="B9" s="20" t="s">
        <v>11</v>
      </c>
      <c r="C9" s="96">
        <v>431390.16</v>
      </c>
      <c r="D9" s="21">
        <f>-E9+C9</f>
        <v>431390.16</v>
      </c>
      <c r="E9" s="22">
        <v>0</v>
      </c>
      <c r="F9" s="91"/>
      <c r="G9" s="96">
        <v>431390.16</v>
      </c>
      <c r="H9" s="21">
        <f>-I9+G9</f>
        <v>431390.16</v>
      </c>
      <c r="I9" s="22">
        <v>0</v>
      </c>
      <c r="K9" s="26">
        <v>400000</v>
      </c>
      <c r="L9" s="21">
        <f>-M9+K9</f>
        <v>400000</v>
      </c>
      <c r="M9" s="22">
        <v>0</v>
      </c>
    </row>
    <row r="10" spans="1:13">
      <c r="A10" s="23" t="s">
        <v>12</v>
      </c>
      <c r="B10" s="24" t="s">
        <v>13</v>
      </c>
      <c r="C10" s="17">
        <f>SUM(C11:C12)</f>
        <v>21.76</v>
      </c>
      <c r="D10" s="18">
        <f>SUM(D11:D12)</f>
        <v>-8440.01</v>
      </c>
      <c r="E10" s="17">
        <f>SUM(E11:E12)</f>
        <v>8461.77</v>
      </c>
      <c r="F10" s="64"/>
      <c r="G10" s="17">
        <f>SUM(G11:G12)</f>
        <v>0</v>
      </c>
      <c r="H10" s="18">
        <f>SUM(H11:H12)</f>
        <v>-12000</v>
      </c>
      <c r="I10" s="17">
        <f>SUM(I11:I12)</f>
        <v>12000</v>
      </c>
      <c r="K10" s="17">
        <f>SUM(K11:K12)</f>
        <v>0</v>
      </c>
      <c r="L10" s="18">
        <f>SUM(L11:L12)</f>
        <v>-10000</v>
      </c>
      <c r="M10" s="17">
        <f>SUM(M11:M12)</f>
        <v>10000</v>
      </c>
    </row>
    <row r="11" spans="1:13">
      <c r="A11" s="25" t="s">
        <v>14</v>
      </c>
      <c r="B11" s="20" t="s">
        <v>15</v>
      </c>
      <c r="C11" s="38">
        <v>21.76</v>
      </c>
      <c r="D11" s="21">
        <f>-E11+C11</f>
        <v>-7100</v>
      </c>
      <c r="E11" s="96">
        <v>7121.76</v>
      </c>
      <c r="F11" s="91"/>
      <c r="G11" s="38">
        <v>0</v>
      </c>
      <c r="H11" s="21">
        <f>-I11+G11</f>
        <v>-10000</v>
      </c>
      <c r="I11" s="96">
        <v>10000</v>
      </c>
      <c r="K11" s="38">
        <v>0</v>
      </c>
      <c r="L11" s="21">
        <f>-M11+K11</f>
        <v>-8000</v>
      </c>
      <c r="M11" s="26">
        <v>8000</v>
      </c>
    </row>
    <row r="12" spans="1:13">
      <c r="A12" s="25" t="s">
        <v>16</v>
      </c>
      <c r="B12" s="20" t="s">
        <v>17</v>
      </c>
      <c r="C12" s="22">
        <v>0</v>
      </c>
      <c r="D12" s="21">
        <f>-E12+C12</f>
        <v>-1340.01</v>
      </c>
      <c r="E12" s="26">
        <v>1340.01</v>
      </c>
      <c r="F12" s="91"/>
      <c r="G12" s="22">
        <v>0</v>
      </c>
      <c r="H12" s="21">
        <f>-I12+G12</f>
        <v>-2000</v>
      </c>
      <c r="I12" s="26">
        <v>2000</v>
      </c>
      <c r="K12" s="22">
        <v>0</v>
      </c>
      <c r="L12" s="21">
        <f>-M12+K12</f>
        <v>-2000</v>
      </c>
      <c r="M12" s="26">
        <v>2000</v>
      </c>
    </row>
    <row r="13" spans="1:13">
      <c r="A13" s="27" t="s">
        <v>18</v>
      </c>
      <c r="B13" s="16" t="s">
        <v>19</v>
      </c>
      <c r="C13" s="17">
        <f>SUM(C14:C17)</f>
        <v>0</v>
      </c>
      <c r="D13" s="18">
        <f>SUM(D14:D17)</f>
        <v>-15000</v>
      </c>
      <c r="E13" s="17">
        <f>SUM(E14:E17)</f>
        <v>15000</v>
      </c>
      <c r="F13" s="64"/>
      <c r="G13" s="17">
        <f>SUM(G14:G17)</f>
        <v>50390.14</v>
      </c>
      <c r="H13" s="18">
        <f>SUM(H14:H17)</f>
        <v>35390.14</v>
      </c>
      <c r="I13" s="17">
        <f>SUM(I14:I17)</f>
        <v>15000</v>
      </c>
      <c r="K13" s="17">
        <f>SUM(K14:K17)</f>
        <v>90383.760000000009</v>
      </c>
      <c r="L13" s="18">
        <f>SUM(L14:L17)</f>
        <v>82883.760000000009</v>
      </c>
      <c r="M13" s="17">
        <f>SUM(M14:M17)</f>
        <v>7500</v>
      </c>
    </row>
    <row r="14" spans="1:13">
      <c r="A14" s="25" t="s">
        <v>20</v>
      </c>
      <c r="B14" s="20" t="s">
        <v>21</v>
      </c>
      <c r="C14" s="96">
        <v>0</v>
      </c>
      <c r="D14" s="97">
        <f>-E14+C14</f>
        <v>0</v>
      </c>
      <c r="E14" s="96">
        <v>0</v>
      </c>
      <c r="F14" s="91"/>
      <c r="G14" s="96">
        <v>0</v>
      </c>
      <c r="H14" s="97">
        <f>-I14+G14</f>
        <v>0</v>
      </c>
      <c r="I14" s="96">
        <v>0</v>
      </c>
      <c r="K14" s="26">
        <v>25000</v>
      </c>
      <c r="L14" s="21">
        <f>-M14+K14</f>
        <v>25000</v>
      </c>
      <c r="M14" s="26">
        <v>0</v>
      </c>
    </row>
    <row r="15" spans="1:13">
      <c r="A15" s="25" t="s">
        <v>22</v>
      </c>
      <c r="B15" s="20" t="s">
        <v>23</v>
      </c>
      <c r="C15" s="96">
        <v>0</v>
      </c>
      <c r="D15" s="97">
        <f>-E15+C15</f>
        <v>0</v>
      </c>
      <c r="E15" s="96">
        <v>0</v>
      </c>
      <c r="F15" s="91"/>
      <c r="G15" s="96">
        <v>10006.379999999999</v>
      </c>
      <c r="H15" s="97">
        <f>-I15+G15</f>
        <v>10006.379999999999</v>
      </c>
      <c r="I15" s="96">
        <v>0</v>
      </c>
      <c r="K15" s="22">
        <v>20000</v>
      </c>
      <c r="L15" s="21">
        <f>-M15+K15</f>
        <v>20000</v>
      </c>
      <c r="M15" s="26">
        <v>0</v>
      </c>
    </row>
    <row r="16" spans="1:13">
      <c r="A16" s="25" t="s">
        <v>24</v>
      </c>
      <c r="B16" s="20" t="s">
        <v>25</v>
      </c>
      <c r="C16" s="96">
        <v>0</v>
      </c>
      <c r="D16" s="97">
        <f>-E16+C16</f>
        <v>0</v>
      </c>
      <c r="E16" s="96">
        <v>0</v>
      </c>
      <c r="F16" s="91"/>
      <c r="G16" s="96">
        <v>40383.760000000002</v>
      </c>
      <c r="H16" s="97">
        <f>-I16+G16</f>
        <v>40383.760000000002</v>
      </c>
      <c r="I16" s="96">
        <v>0</v>
      </c>
      <c r="K16" s="22">
        <v>40383.760000000002</v>
      </c>
      <c r="L16" s="21">
        <f>-M16+K16</f>
        <v>40383.760000000002</v>
      </c>
      <c r="M16" s="22">
        <v>0</v>
      </c>
    </row>
    <row r="17" spans="1:13">
      <c r="A17" s="25" t="s">
        <v>26</v>
      </c>
      <c r="B17" s="20" t="s">
        <v>27</v>
      </c>
      <c r="C17" s="96">
        <v>0</v>
      </c>
      <c r="D17" s="97">
        <f>-E17+C17</f>
        <v>-15000</v>
      </c>
      <c r="E17" s="96">
        <v>15000</v>
      </c>
      <c r="F17" s="91"/>
      <c r="G17" s="96">
        <v>0</v>
      </c>
      <c r="H17" s="97">
        <f>-I17+G17</f>
        <v>-15000</v>
      </c>
      <c r="I17" s="96">
        <v>15000</v>
      </c>
      <c r="K17" s="22">
        <v>5000</v>
      </c>
      <c r="L17" s="21">
        <f>-M17+K17</f>
        <v>-2500</v>
      </c>
      <c r="M17" s="26">
        <v>7500</v>
      </c>
    </row>
    <row r="18" spans="1:13">
      <c r="A18" s="27" t="s">
        <v>28</v>
      </c>
      <c r="B18" s="16" t="s">
        <v>336</v>
      </c>
      <c r="C18" s="17">
        <f>SUM(C19:C24)</f>
        <v>40467.69</v>
      </c>
      <c r="D18" s="18">
        <f>SUM(D19:D24)</f>
        <v>-57646.23</v>
      </c>
      <c r="E18" s="17">
        <f>SUM(E19:E24)</f>
        <v>98113.919999999998</v>
      </c>
      <c r="F18" s="64"/>
      <c r="G18" s="17">
        <f>SUM(G19:G24)</f>
        <v>50000</v>
      </c>
      <c r="H18" s="18">
        <f>SUM(H19:H24)</f>
        <v>-86000</v>
      </c>
      <c r="I18" s="17">
        <f>SUM(I19:I24)</f>
        <v>136000</v>
      </c>
      <c r="J18" s="64"/>
      <c r="K18" s="17">
        <f>SUM(K19:K24)</f>
        <v>55000</v>
      </c>
      <c r="L18" s="18">
        <f>SUM(L19:L24)</f>
        <v>-91000</v>
      </c>
      <c r="M18" s="17">
        <f>SUM(M19:M24)</f>
        <v>146000</v>
      </c>
    </row>
    <row r="19" spans="1:13">
      <c r="A19" s="25" t="s">
        <v>29</v>
      </c>
      <c r="B19" s="20" t="s">
        <v>331</v>
      </c>
      <c r="C19" s="96">
        <v>35802.9</v>
      </c>
      <c r="D19" s="97">
        <f t="shared" ref="D19:D24" si="0">-E19+C19</f>
        <v>-20841.68</v>
      </c>
      <c r="E19" s="96">
        <v>56644.58</v>
      </c>
      <c r="F19" s="91"/>
      <c r="G19" s="96">
        <v>40000</v>
      </c>
      <c r="H19" s="97">
        <f t="shared" ref="H19:H24" si="1">-I19+G19</f>
        <v>-30000</v>
      </c>
      <c r="I19" s="96">
        <v>70000</v>
      </c>
      <c r="K19" s="22">
        <v>45000</v>
      </c>
      <c r="L19" s="21">
        <f t="shared" ref="L19:L24" si="2">-M19+K19</f>
        <v>-35000</v>
      </c>
      <c r="M19" s="26">
        <v>80000</v>
      </c>
    </row>
    <row r="20" spans="1:13">
      <c r="A20" s="25" t="s">
        <v>30</v>
      </c>
      <c r="B20" s="20" t="s">
        <v>332</v>
      </c>
      <c r="C20" s="22">
        <v>0</v>
      </c>
      <c r="D20" s="21">
        <f t="shared" si="0"/>
        <v>-4300.3100000000004</v>
      </c>
      <c r="E20" s="26">
        <v>4300.3100000000004</v>
      </c>
      <c r="F20" s="91"/>
      <c r="G20" s="22">
        <v>0</v>
      </c>
      <c r="H20" s="21">
        <f t="shared" si="1"/>
        <v>-5000</v>
      </c>
      <c r="I20" s="26">
        <v>5000</v>
      </c>
      <c r="K20" s="22">
        <v>0</v>
      </c>
      <c r="L20" s="21">
        <f t="shared" si="2"/>
        <v>-5000</v>
      </c>
      <c r="M20" s="26">
        <v>5000</v>
      </c>
    </row>
    <row r="21" spans="1:13">
      <c r="A21" s="93" t="s">
        <v>31</v>
      </c>
      <c r="B21" s="54" t="s">
        <v>415</v>
      </c>
      <c r="C21" s="22">
        <v>4664.79</v>
      </c>
      <c r="D21" s="21">
        <f t="shared" si="0"/>
        <v>-32434.28</v>
      </c>
      <c r="E21" s="26">
        <v>37099.07</v>
      </c>
      <c r="F21" s="91"/>
      <c r="G21" s="22">
        <v>10000</v>
      </c>
      <c r="H21" s="21">
        <f t="shared" si="1"/>
        <v>-50000</v>
      </c>
      <c r="I21" s="26">
        <v>60000</v>
      </c>
      <c r="K21" s="22">
        <v>10000</v>
      </c>
      <c r="L21" s="21">
        <f t="shared" si="2"/>
        <v>-50000</v>
      </c>
      <c r="M21" s="26">
        <v>60000</v>
      </c>
    </row>
    <row r="22" spans="1:13">
      <c r="A22" s="25" t="s">
        <v>33</v>
      </c>
      <c r="B22" s="20" t="s">
        <v>32</v>
      </c>
      <c r="C22" s="22">
        <v>0</v>
      </c>
      <c r="D22" s="21">
        <f t="shared" si="0"/>
        <v>0</v>
      </c>
      <c r="E22" s="26">
        <v>0</v>
      </c>
      <c r="F22" s="91"/>
      <c r="G22" s="22">
        <v>0</v>
      </c>
      <c r="H22" s="21">
        <f t="shared" si="1"/>
        <v>0</v>
      </c>
      <c r="I22" s="26">
        <v>0</v>
      </c>
      <c r="K22" s="22">
        <v>0</v>
      </c>
      <c r="L22" s="21">
        <f t="shared" si="2"/>
        <v>0</v>
      </c>
      <c r="M22" s="26">
        <v>0</v>
      </c>
    </row>
    <row r="23" spans="1:13">
      <c r="A23" s="25" t="s">
        <v>334</v>
      </c>
      <c r="B23" s="20" t="s">
        <v>333</v>
      </c>
      <c r="C23" s="22">
        <v>0</v>
      </c>
      <c r="D23" s="21">
        <f t="shared" si="0"/>
        <v>0</v>
      </c>
      <c r="E23" s="26">
        <v>0</v>
      </c>
      <c r="F23" s="91"/>
      <c r="G23" s="22">
        <v>0</v>
      </c>
      <c r="H23" s="21">
        <f t="shared" si="1"/>
        <v>0</v>
      </c>
      <c r="I23" s="26">
        <v>0</v>
      </c>
      <c r="K23" s="22">
        <v>0</v>
      </c>
      <c r="L23" s="21">
        <f t="shared" si="2"/>
        <v>0</v>
      </c>
      <c r="M23" s="26">
        <v>0</v>
      </c>
    </row>
    <row r="24" spans="1:13">
      <c r="A24" s="25" t="s">
        <v>335</v>
      </c>
      <c r="B24" s="20" t="s">
        <v>17</v>
      </c>
      <c r="C24" s="22">
        <v>0</v>
      </c>
      <c r="D24" s="21">
        <f t="shared" si="0"/>
        <v>-69.959999999999994</v>
      </c>
      <c r="E24" s="26">
        <v>69.959999999999994</v>
      </c>
      <c r="F24" s="91"/>
      <c r="G24" s="22">
        <v>0</v>
      </c>
      <c r="H24" s="21">
        <f t="shared" si="1"/>
        <v>-1000</v>
      </c>
      <c r="I24" s="26">
        <v>1000</v>
      </c>
      <c r="K24" s="22">
        <v>0</v>
      </c>
      <c r="L24" s="21">
        <f t="shared" si="2"/>
        <v>-1000</v>
      </c>
      <c r="M24" s="26">
        <v>1000</v>
      </c>
    </row>
    <row r="25" spans="1:13">
      <c r="A25" s="27" t="s">
        <v>34</v>
      </c>
      <c r="B25" s="16" t="s">
        <v>35</v>
      </c>
      <c r="C25" s="17">
        <f>SUM(C26:C27)</f>
        <v>0</v>
      </c>
      <c r="D25" s="18">
        <f>SUM(D26:D27)</f>
        <v>0</v>
      </c>
      <c r="E25" s="17">
        <f>SUM(E26:E27)</f>
        <v>0</v>
      </c>
      <c r="F25" s="64"/>
      <c r="G25" s="17">
        <f>SUM(G26:G27)</f>
        <v>0</v>
      </c>
      <c r="H25" s="18">
        <f>SUM(H26:H27)</f>
        <v>0</v>
      </c>
      <c r="I25" s="17">
        <f>SUM(I26:I27)</f>
        <v>0</v>
      </c>
      <c r="K25" s="17">
        <f>SUM(K26:K27)</f>
        <v>0</v>
      </c>
      <c r="L25" s="18">
        <f>SUM(L26:L27)</f>
        <v>0</v>
      </c>
      <c r="M25" s="17">
        <f>SUM(M26:M27)</f>
        <v>0</v>
      </c>
    </row>
    <row r="26" spans="1:13">
      <c r="A26" s="28" t="s">
        <v>36</v>
      </c>
      <c r="B26" s="29" t="s">
        <v>37</v>
      </c>
      <c r="C26" s="26">
        <v>0</v>
      </c>
      <c r="D26" s="21">
        <f>-E26+C26</f>
        <v>0</v>
      </c>
      <c r="E26" s="22">
        <v>0</v>
      </c>
      <c r="F26" s="91"/>
      <c r="G26" s="26">
        <v>0</v>
      </c>
      <c r="H26" s="21">
        <f>-I26+G26</f>
        <v>0</v>
      </c>
      <c r="I26" s="22">
        <v>0</v>
      </c>
      <c r="K26" s="26">
        <v>0</v>
      </c>
      <c r="L26" s="21">
        <f>-M26+K26</f>
        <v>0</v>
      </c>
      <c r="M26" s="22">
        <v>0</v>
      </c>
    </row>
    <row r="27" spans="1:13">
      <c r="A27" s="25" t="s">
        <v>38</v>
      </c>
      <c r="B27" s="20" t="s">
        <v>39</v>
      </c>
      <c r="C27" s="26">
        <v>0</v>
      </c>
      <c r="D27" s="21">
        <f>-E27+C27</f>
        <v>0</v>
      </c>
      <c r="E27" s="22">
        <v>0</v>
      </c>
      <c r="F27" s="91"/>
      <c r="G27" s="26">
        <v>0</v>
      </c>
      <c r="H27" s="21">
        <f>-I27+G27</f>
        <v>0</v>
      </c>
      <c r="I27" s="22">
        <v>0</v>
      </c>
      <c r="K27" s="26">
        <v>0</v>
      </c>
      <c r="L27" s="21">
        <f>-M27+K27</f>
        <v>0</v>
      </c>
      <c r="M27" s="22">
        <v>0</v>
      </c>
    </row>
    <row r="28" spans="1:13">
      <c r="A28" s="27" t="s">
        <v>40</v>
      </c>
      <c r="B28" s="16" t="s">
        <v>41</v>
      </c>
      <c r="C28" s="17">
        <f>SUM(C29:C30)</f>
        <v>44305.94</v>
      </c>
      <c r="D28" s="18">
        <f>SUM(D29:D30)</f>
        <v>-208191.88999999998</v>
      </c>
      <c r="E28" s="17">
        <f>SUM(E29:E30)</f>
        <v>252497.83</v>
      </c>
      <c r="F28" s="64"/>
      <c r="G28" s="17">
        <f>SUM(G29:G30)</f>
        <v>215517.32</v>
      </c>
      <c r="H28" s="18">
        <f>SUM(H29:H30)</f>
        <v>215517.32</v>
      </c>
      <c r="I28" s="17">
        <f>SUM(I29:I30)</f>
        <v>0</v>
      </c>
      <c r="K28" s="17">
        <f>SUM(K29:K30)</f>
        <v>224089</v>
      </c>
      <c r="L28" s="18">
        <f>SUM(L29:L30)</f>
        <v>224089</v>
      </c>
      <c r="M28" s="17">
        <f>SUM(M29:M30)</f>
        <v>0</v>
      </c>
    </row>
    <row r="29" spans="1:13">
      <c r="A29" s="30" t="s">
        <v>42</v>
      </c>
      <c r="B29" s="31" t="s">
        <v>43</v>
      </c>
      <c r="C29" s="96">
        <v>44305.94</v>
      </c>
      <c r="D29" s="21">
        <f>-E29+C29</f>
        <v>-3180.3099999999977</v>
      </c>
      <c r="E29" s="26">
        <v>47486.25</v>
      </c>
      <c r="F29" s="91"/>
      <c r="G29" s="96">
        <f>34089+10216.94</f>
        <v>44305.94</v>
      </c>
      <c r="H29" s="21">
        <f>-I29+G29</f>
        <v>44305.94</v>
      </c>
      <c r="I29" s="26">
        <v>0</v>
      </c>
      <c r="K29" s="26">
        <f>34089+10000</f>
        <v>44089</v>
      </c>
      <c r="L29" s="21">
        <f>-M29+K29</f>
        <v>44089</v>
      </c>
      <c r="M29" s="26">
        <v>0</v>
      </c>
    </row>
    <row r="30" spans="1:13">
      <c r="A30" s="30" t="s">
        <v>44</v>
      </c>
      <c r="B30" s="31" t="s">
        <v>45</v>
      </c>
      <c r="C30" s="96">
        <v>0</v>
      </c>
      <c r="D30" s="70">
        <f>-E30+C30</f>
        <v>-205011.58</v>
      </c>
      <c r="E30" s="155">
        <v>205011.58</v>
      </c>
      <c r="F30" s="91"/>
      <c r="G30" s="96">
        <v>171211.38</v>
      </c>
      <c r="H30" s="21">
        <f>-I30+G30</f>
        <v>171211.38</v>
      </c>
      <c r="I30" s="26">
        <v>0</v>
      </c>
      <c r="K30" s="26">
        <v>180000</v>
      </c>
      <c r="L30" s="21">
        <f>-M30+K30</f>
        <v>180000</v>
      </c>
      <c r="M30" s="26">
        <v>0</v>
      </c>
    </row>
    <row r="31" spans="1:13" ht="21">
      <c r="A31" s="32" t="s">
        <v>46</v>
      </c>
      <c r="B31" s="33" t="s">
        <v>47</v>
      </c>
      <c r="C31" s="34">
        <f>SUM(C32,C37,C42,C47,C52,C57)</f>
        <v>1027030.95</v>
      </c>
      <c r="D31" s="35">
        <f>SUM(D32,D37,D42,D47,D52,D57)</f>
        <v>572621.76</v>
      </c>
      <c r="E31" s="34">
        <f>SUM(E32,E37,E42,E47,E52,E57)</f>
        <v>454409.19</v>
      </c>
      <c r="F31" s="64"/>
      <c r="G31" s="34">
        <f>SUM(G32,G37,G42,G47,G52,G57)</f>
        <v>766425</v>
      </c>
      <c r="H31" s="35">
        <f>SUM(H32,H37,H42,H47,H52,H57)</f>
        <v>527536</v>
      </c>
      <c r="I31" s="34">
        <f>SUM(I32,I37,I42,I47,I52,I57)</f>
        <v>238889</v>
      </c>
      <c r="K31" s="34">
        <f>SUM(K32,K37,K42,K47,K52,K57)</f>
        <v>748400</v>
      </c>
      <c r="L31" s="35">
        <f>SUM(L32,L37,L42,L47,L52,L57)</f>
        <v>517211</v>
      </c>
      <c r="M31" s="34">
        <f>SUM(M32,M37,M42,M47,M52,M57)</f>
        <v>231189</v>
      </c>
    </row>
    <row r="32" spans="1:13">
      <c r="A32" s="27" t="s">
        <v>48</v>
      </c>
      <c r="B32" s="16" t="s">
        <v>49</v>
      </c>
      <c r="C32" s="17">
        <f>SUM(C33:C36)</f>
        <v>690771</v>
      </c>
      <c r="D32" s="18">
        <f>SUM(D33:D36)</f>
        <v>540771</v>
      </c>
      <c r="E32" s="17">
        <f>SUM(E33:E36)</f>
        <v>150000</v>
      </c>
      <c r="F32" s="64"/>
      <c r="G32" s="17">
        <f>SUM(G33:G36)</f>
        <v>532500</v>
      </c>
      <c r="H32" s="18">
        <f>SUM(H33:H36)</f>
        <v>532500</v>
      </c>
      <c r="I32" s="17">
        <f>SUM(I33:I36)</f>
        <v>0</v>
      </c>
      <c r="K32" s="17">
        <f>SUM(K33:K36)</f>
        <v>517500</v>
      </c>
      <c r="L32" s="18">
        <f>SUM(L33:L36)</f>
        <v>517500</v>
      </c>
      <c r="M32" s="17">
        <f>SUM(M33:M36)</f>
        <v>0</v>
      </c>
    </row>
    <row r="33" spans="1:13">
      <c r="A33" s="25" t="s">
        <v>50</v>
      </c>
      <c r="B33" s="20" t="s">
        <v>41</v>
      </c>
      <c r="C33" s="96">
        <v>150000</v>
      </c>
      <c r="D33" s="97">
        <f>-E33+C33</f>
        <v>0</v>
      </c>
      <c r="E33" s="96">
        <v>150000</v>
      </c>
      <c r="F33" s="91"/>
      <c r="G33" s="96">
        <v>150000</v>
      </c>
      <c r="H33" s="97">
        <f>-I33+G33</f>
        <v>150000</v>
      </c>
      <c r="I33" s="96">
        <v>0</v>
      </c>
      <c r="K33" s="26">
        <v>150000</v>
      </c>
      <c r="L33" s="21">
        <f>-M33+K33</f>
        <v>150000</v>
      </c>
      <c r="M33" s="22">
        <v>0</v>
      </c>
    </row>
    <row r="34" spans="1:13">
      <c r="A34" s="25" t="s">
        <v>51</v>
      </c>
      <c r="B34" s="20" t="s">
        <v>52</v>
      </c>
      <c r="C34" s="96">
        <v>126958.5</v>
      </c>
      <c r="D34" s="97">
        <f>-E34+C34</f>
        <v>126958.5</v>
      </c>
      <c r="E34" s="96">
        <v>0</v>
      </c>
      <c r="F34" s="91"/>
      <c r="G34" s="96">
        <f>G3*7.5-G33</f>
        <v>123750</v>
      </c>
      <c r="H34" s="97">
        <f>-I34+G34</f>
        <v>123750</v>
      </c>
      <c r="I34" s="96">
        <v>0</v>
      </c>
      <c r="K34" s="26">
        <f>K3*7.5-K33</f>
        <v>116250</v>
      </c>
      <c r="L34" s="21">
        <f>-M34+K34</f>
        <v>116250</v>
      </c>
      <c r="M34" s="22">
        <v>0</v>
      </c>
    </row>
    <row r="35" spans="1:13">
      <c r="A35" s="36" t="s">
        <v>53</v>
      </c>
      <c r="B35" s="37" t="s">
        <v>54</v>
      </c>
      <c r="C35" s="96">
        <v>263812.5</v>
      </c>
      <c r="D35" s="97">
        <f>-E35+C35</f>
        <v>263812.5</v>
      </c>
      <c r="E35" s="96">
        <v>0</v>
      </c>
      <c r="F35" s="91"/>
      <c r="G35" s="96">
        <f>I3*7.5</f>
        <v>258750</v>
      </c>
      <c r="H35" s="97">
        <f>-I35+G35</f>
        <v>258750</v>
      </c>
      <c r="I35" s="96">
        <v>0</v>
      </c>
      <c r="K35" s="26">
        <f>M3*7.5</f>
        <v>251250</v>
      </c>
      <c r="L35" s="21">
        <f>-M35+K35</f>
        <v>251250</v>
      </c>
      <c r="M35" s="22">
        <v>0</v>
      </c>
    </row>
    <row r="36" spans="1:13">
      <c r="A36" s="36" t="s">
        <v>55</v>
      </c>
      <c r="B36" s="37" t="s">
        <v>56</v>
      </c>
      <c r="C36" s="38">
        <v>150000</v>
      </c>
      <c r="D36" s="21">
        <f>-E36+C36</f>
        <v>150000</v>
      </c>
      <c r="E36" s="22">
        <v>0</v>
      </c>
      <c r="F36" s="91"/>
      <c r="G36" s="38">
        <v>0</v>
      </c>
      <c r="H36" s="21">
        <f>-I36+G36</f>
        <v>0</v>
      </c>
      <c r="I36" s="22">
        <v>0</v>
      </c>
      <c r="K36" s="38">
        <v>0</v>
      </c>
      <c r="L36" s="21">
        <f>-M36+K36</f>
        <v>0</v>
      </c>
      <c r="M36" s="22">
        <v>0</v>
      </c>
    </row>
    <row r="37" spans="1:13">
      <c r="A37" s="27" t="s">
        <v>57</v>
      </c>
      <c r="B37" s="16" t="s">
        <v>58</v>
      </c>
      <c r="C37" s="17">
        <f>SUM(C38:C41)</f>
        <v>61249.2</v>
      </c>
      <c r="D37" s="18">
        <f>SUM(D38:D41)</f>
        <v>0</v>
      </c>
      <c r="E37" s="17">
        <f>SUM(E38:E41)</f>
        <v>61249.2</v>
      </c>
      <c r="F37" s="64"/>
      <c r="G37" s="17">
        <f>SUM(G38:G41)</f>
        <v>30600</v>
      </c>
      <c r="H37" s="18">
        <f>SUM(H38:H41)</f>
        <v>-1200</v>
      </c>
      <c r="I37" s="17">
        <f>SUM(I38:I41)</f>
        <v>31800</v>
      </c>
      <c r="K37" s="17">
        <f>SUM(K38:K41)</f>
        <v>29400</v>
      </c>
      <c r="L37" s="18">
        <f>SUM(L38:L41)</f>
        <v>-1200</v>
      </c>
      <c r="M37" s="17">
        <f>SUM(M38:M41)</f>
        <v>30600</v>
      </c>
    </row>
    <row r="38" spans="1:13">
      <c r="A38" s="25" t="s">
        <v>59</v>
      </c>
      <c r="B38" s="20" t="s">
        <v>41</v>
      </c>
      <c r="C38" s="96">
        <v>0</v>
      </c>
      <c r="D38" s="97">
        <f>-E38+C38</f>
        <v>0</v>
      </c>
      <c r="E38" s="96">
        <v>0</v>
      </c>
      <c r="F38" s="91"/>
      <c r="G38" s="96">
        <v>0</v>
      </c>
      <c r="H38" s="97">
        <f>-I38+G38</f>
        <v>0</v>
      </c>
      <c r="I38" s="96">
        <v>0</v>
      </c>
      <c r="K38" s="26">
        <v>0</v>
      </c>
      <c r="L38" s="21">
        <f>-M38+K38</f>
        <v>0</v>
      </c>
      <c r="M38" s="22">
        <v>0</v>
      </c>
    </row>
    <row r="39" spans="1:13">
      <c r="A39" s="25" t="s">
        <v>60</v>
      </c>
      <c r="B39" s="20" t="s">
        <v>52</v>
      </c>
      <c r="C39" s="96">
        <v>10144.200000000001</v>
      </c>
      <c r="D39" s="97">
        <f>-E39+C39</f>
        <v>0</v>
      </c>
      <c r="E39" s="96">
        <v>10144.200000000001</v>
      </c>
      <c r="F39" s="91"/>
      <c r="G39" s="96">
        <f>G3*0.6-12000</f>
        <v>9900</v>
      </c>
      <c r="H39" s="97">
        <f>-I39+G39</f>
        <v>0</v>
      </c>
      <c r="I39" s="96">
        <f>G3*0.6-12000</f>
        <v>9900</v>
      </c>
      <c r="K39" s="26">
        <f>K3*0.6-12000</f>
        <v>9300</v>
      </c>
      <c r="L39" s="21">
        <f>-M39+K39</f>
        <v>0</v>
      </c>
      <c r="M39" s="26">
        <f>K3*0.6-12000</f>
        <v>9300</v>
      </c>
    </row>
    <row r="40" spans="1:13">
      <c r="A40" s="25" t="s">
        <v>61</v>
      </c>
      <c r="B40" s="37" t="s">
        <v>54</v>
      </c>
      <c r="C40" s="96">
        <v>21105</v>
      </c>
      <c r="D40" s="97">
        <f>-E40+C40</f>
        <v>0</v>
      </c>
      <c r="E40" s="96">
        <v>21105</v>
      </c>
      <c r="F40" s="91"/>
      <c r="G40" s="96">
        <f>I3*0.6</f>
        <v>20700</v>
      </c>
      <c r="H40" s="97">
        <f>-I40+G40</f>
        <v>-1200</v>
      </c>
      <c r="I40" s="96">
        <f>G3*0.6</f>
        <v>21900</v>
      </c>
      <c r="K40" s="26">
        <f>M3*0.6</f>
        <v>20100</v>
      </c>
      <c r="L40" s="21">
        <f>-M40+K40</f>
        <v>-1200</v>
      </c>
      <c r="M40" s="26">
        <f>K3*0.6</f>
        <v>21300</v>
      </c>
    </row>
    <row r="41" spans="1:13">
      <c r="A41" s="25" t="s">
        <v>62</v>
      </c>
      <c r="B41" s="37" t="s">
        <v>56</v>
      </c>
      <c r="C41" s="22">
        <v>30000</v>
      </c>
      <c r="D41" s="21">
        <f>-E41+C41</f>
        <v>0</v>
      </c>
      <c r="E41" s="22">
        <v>30000</v>
      </c>
      <c r="F41" s="91"/>
      <c r="G41" s="22">
        <v>0</v>
      </c>
      <c r="H41" s="21">
        <f>-I41+G41</f>
        <v>0</v>
      </c>
      <c r="I41" s="22">
        <v>0</v>
      </c>
      <c r="K41" s="22">
        <v>0</v>
      </c>
      <c r="L41" s="21">
        <f>-M41+K41</f>
        <v>0</v>
      </c>
      <c r="M41" s="22">
        <v>0</v>
      </c>
    </row>
    <row r="42" spans="1:13">
      <c r="A42" s="23" t="s">
        <v>63</v>
      </c>
      <c r="B42" s="24" t="s">
        <v>64</v>
      </c>
      <c r="C42" s="17">
        <f>SUM(C43:C46)</f>
        <v>144164</v>
      </c>
      <c r="D42" s="18">
        <f>SUM(D43:D46)</f>
        <v>0</v>
      </c>
      <c r="E42" s="17">
        <f>SUM(E43:E46)</f>
        <v>144164</v>
      </c>
      <c r="F42" s="64"/>
      <c r="G42" s="17">
        <f>SUM(G43:G46)</f>
        <v>102000</v>
      </c>
      <c r="H42" s="18">
        <f>SUM(H43:H46)</f>
        <v>0</v>
      </c>
      <c r="I42" s="17">
        <f>SUM(I43:I46)</f>
        <v>102000</v>
      </c>
      <c r="K42" s="17">
        <f>SUM(K43:K46)</f>
        <v>98000</v>
      </c>
      <c r="L42" s="18">
        <f>SUM(L43:L46)</f>
        <v>0</v>
      </c>
      <c r="M42" s="17">
        <f>SUM(M43:M46)</f>
        <v>98000</v>
      </c>
    </row>
    <row r="43" spans="1:13">
      <c r="A43" s="25" t="s">
        <v>65</v>
      </c>
      <c r="B43" s="20" t="s">
        <v>41</v>
      </c>
      <c r="C43" s="96">
        <v>0</v>
      </c>
      <c r="D43" s="97">
        <f>-E43+C43</f>
        <v>0</v>
      </c>
      <c r="E43" s="96">
        <v>0</v>
      </c>
      <c r="F43" s="91"/>
      <c r="G43" s="96">
        <v>0</v>
      </c>
      <c r="H43" s="97">
        <f>-I43+G43</f>
        <v>0</v>
      </c>
      <c r="I43" s="96">
        <v>0</v>
      </c>
      <c r="K43" s="26">
        <v>0</v>
      </c>
      <c r="L43" s="21">
        <f>-M43+K43</f>
        <v>0</v>
      </c>
      <c r="M43" s="22">
        <v>0</v>
      </c>
    </row>
    <row r="44" spans="1:13">
      <c r="A44" s="25" t="s">
        <v>66</v>
      </c>
      <c r="B44" s="20" t="s">
        <v>52</v>
      </c>
      <c r="C44" s="96">
        <v>33814</v>
      </c>
      <c r="D44" s="97">
        <f>-E44+C44</f>
        <v>0</v>
      </c>
      <c r="E44" s="96">
        <v>33814</v>
      </c>
      <c r="F44" s="91"/>
      <c r="G44" s="96">
        <f>G3*2-40000</f>
        <v>33000</v>
      </c>
      <c r="H44" s="97">
        <f>-I44+G44</f>
        <v>0</v>
      </c>
      <c r="I44" s="96">
        <f>G3*2-40000</f>
        <v>33000</v>
      </c>
      <c r="K44" s="26">
        <f>K3*2-40000</f>
        <v>31000</v>
      </c>
      <c r="L44" s="21">
        <f>-M44+K44</f>
        <v>0</v>
      </c>
      <c r="M44" s="26">
        <f>K3*2-40000</f>
        <v>31000</v>
      </c>
    </row>
    <row r="45" spans="1:13">
      <c r="A45" s="25" t="s">
        <v>67</v>
      </c>
      <c r="B45" s="37" t="s">
        <v>54</v>
      </c>
      <c r="C45" s="96">
        <v>70350</v>
      </c>
      <c r="D45" s="97">
        <f>-E45+C45</f>
        <v>0</v>
      </c>
      <c r="E45" s="96">
        <v>70350</v>
      </c>
      <c r="F45" s="91"/>
      <c r="G45" s="96">
        <f>I3*2</f>
        <v>69000</v>
      </c>
      <c r="H45" s="97">
        <f>-I45+G45</f>
        <v>0</v>
      </c>
      <c r="I45" s="96">
        <f>I3*2</f>
        <v>69000</v>
      </c>
      <c r="K45" s="26">
        <f>M3*2</f>
        <v>67000</v>
      </c>
      <c r="L45" s="21">
        <f>-M45+K45</f>
        <v>0</v>
      </c>
      <c r="M45" s="26">
        <f>M3*2</f>
        <v>67000</v>
      </c>
    </row>
    <row r="46" spans="1:13">
      <c r="A46" s="25" t="s">
        <v>68</v>
      </c>
      <c r="B46" s="37" t="s">
        <v>56</v>
      </c>
      <c r="C46" s="22">
        <v>40000</v>
      </c>
      <c r="D46" s="21">
        <f>-E46+C46</f>
        <v>0</v>
      </c>
      <c r="E46" s="22">
        <v>40000</v>
      </c>
      <c r="F46" s="91"/>
      <c r="G46" s="22">
        <v>0</v>
      </c>
      <c r="H46" s="21">
        <f>-I46+G46</f>
        <v>0</v>
      </c>
      <c r="I46" s="22">
        <v>0</v>
      </c>
      <c r="K46" s="22">
        <v>0</v>
      </c>
      <c r="L46" s="21">
        <f>-M46+K46</f>
        <v>0</v>
      </c>
      <c r="M46" s="22">
        <v>0</v>
      </c>
    </row>
    <row r="47" spans="1:13">
      <c r="A47" s="27" t="s">
        <v>69</v>
      </c>
      <c r="B47" s="16" t="s">
        <v>70</v>
      </c>
      <c r="C47" s="17">
        <f>SUM(C48:C51)</f>
        <v>0</v>
      </c>
      <c r="D47" s="18">
        <f>SUM(D48:D51)</f>
        <v>0</v>
      </c>
      <c r="E47" s="17">
        <f>SUM(E48:E51)</f>
        <v>0</v>
      </c>
      <c r="F47" s="64"/>
      <c r="G47" s="17">
        <f>SUM(G48:G51)</f>
        <v>0</v>
      </c>
      <c r="H47" s="18">
        <f>SUM(H48:H51)</f>
        <v>0</v>
      </c>
      <c r="I47" s="17">
        <f>SUM(I48:I51)</f>
        <v>0</v>
      </c>
      <c r="K47" s="17">
        <f>SUM(K48:K51)</f>
        <v>0</v>
      </c>
      <c r="L47" s="18">
        <f>SUM(L48:L51)</f>
        <v>0</v>
      </c>
      <c r="M47" s="17">
        <f>SUM(M48:M51)</f>
        <v>0</v>
      </c>
    </row>
    <row r="48" spans="1:13">
      <c r="A48" s="25" t="s">
        <v>71</v>
      </c>
      <c r="B48" s="20" t="s">
        <v>41</v>
      </c>
      <c r="C48" s="22">
        <v>0</v>
      </c>
      <c r="D48" s="21">
        <f>-E48+C48</f>
        <v>0</v>
      </c>
      <c r="E48" s="22">
        <v>0</v>
      </c>
      <c r="F48" s="91"/>
      <c r="G48" s="22">
        <v>0</v>
      </c>
      <c r="H48" s="21">
        <f>-I48+G48</f>
        <v>0</v>
      </c>
      <c r="I48" s="22">
        <v>0</v>
      </c>
      <c r="K48" s="22">
        <v>0</v>
      </c>
      <c r="L48" s="21">
        <f>-M48+K48</f>
        <v>0</v>
      </c>
      <c r="M48" s="22">
        <v>0</v>
      </c>
    </row>
    <row r="49" spans="1:13">
      <c r="A49" s="25" t="s">
        <v>72</v>
      </c>
      <c r="B49" s="20" t="s">
        <v>52</v>
      </c>
      <c r="C49" s="26">
        <v>0</v>
      </c>
      <c r="D49" s="21">
        <f>-E49+C49</f>
        <v>0</v>
      </c>
      <c r="E49" s="22">
        <v>0</v>
      </c>
      <c r="F49" s="91"/>
      <c r="G49" s="26">
        <v>0</v>
      </c>
      <c r="H49" s="21">
        <f>-I49+G49</f>
        <v>0</v>
      </c>
      <c r="I49" s="22">
        <v>0</v>
      </c>
      <c r="K49" s="26">
        <v>0</v>
      </c>
      <c r="L49" s="21">
        <f>-M49+K49</f>
        <v>0</v>
      </c>
      <c r="M49" s="22">
        <v>0</v>
      </c>
    </row>
    <row r="50" spans="1:13">
      <c r="A50" s="25" t="s">
        <v>73</v>
      </c>
      <c r="B50" s="20" t="s">
        <v>54</v>
      </c>
      <c r="C50" s="22">
        <v>0</v>
      </c>
      <c r="D50" s="21">
        <f>-E50+C50</f>
        <v>0</v>
      </c>
      <c r="E50" s="22">
        <v>0</v>
      </c>
      <c r="F50" s="91"/>
      <c r="G50" s="22">
        <v>0</v>
      </c>
      <c r="H50" s="21">
        <f>-I50+G50</f>
        <v>0</v>
      </c>
      <c r="I50" s="22">
        <v>0</v>
      </c>
      <c r="K50" s="22">
        <v>0</v>
      </c>
      <c r="L50" s="21">
        <f>-M50+K50</f>
        <v>0</v>
      </c>
      <c r="M50" s="22">
        <v>0</v>
      </c>
    </row>
    <row r="51" spans="1:13">
      <c r="A51" s="25" t="s">
        <v>74</v>
      </c>
      <c r="B51" s="20" t="s">
        <v>56</v>
      </c>
      <c r="C51" s="22">
        <v>0</v>
      </c>
      <c r="D51" s="21">
        <f>-E51+C51</f>
        <v>0</v>
      </c>
      <c r="E51" s="22">
        <v>0</v>
      </c>
      <c r="F51" s="91"/>
      <c r="G51" s="22">
        <v>0</v>
      </c>
      <c r="H51" s="21">
        <f>-I51+G51</f>
        <v>0</v>
      </c>
      <c r="I51" s="22">
        <v>0</v>
      </c>
      <c r="K51" s="22">
        <v>0</v>
      </c>
      <c r="L51" s="21">
        <f>-M51+K51</f>
        <v>0</v>
      </c>
      <c r="M51" s="22">
        <v>0</v>
      </c>
    </row>
    <row r="52" spans="1:13">
      <c r="A52" s="27" t="s">
        <v>75</v>
      </c>
      <c r="B52" s="16" t="s">
        <v>76</v>
      </c>
      <c r="C52" s="17">
        <f>SUM(C53:C56)</f>
        <v>38764.75</v>
      </c>
      <c r="D52" s="18">
        <f>SUM(D53:D56)</f>
        <v>30764.75</v>
      </c>
      <c r="E52" s="17">
        <f>SUM(E53:E56)</f>
        <v>8000</v>
      </c>
      <c r="F52" s="64"/>
      <c r="G52" s="17">
        <f>SUM(G53:G56)</f>
        <v>30325</v>
      </c>
      <c r="H52" s="18">
        <f>SUM(H53:H56)</f>
        <v>30325</v>
      </c>
      <c r="I52" s="17">
        <f>SUM(I53:I56)</f>
        <v>0</v>
      </c>
      <c r="K52" s="17">
        <f>SUM(K53:K56)</f>
        <v>34500</v>
      </c>
      <c r="L52" s="18">
        <f>SUM(L53:L56)</f>
        <v>34500</v>
      </c>
      <c r="M52" s="17">
        <f>SUM(M53:M56)</f>
        <v>0</v>
      </c>
    </row>
    <row r="53" spans="1:13">
      <c r="A53" s="25" t="s">
        <v>77</v>
      </c>
      <c r="B53" s="20" t="s">
        <v>41</v>
      </c>
      <c r="C53" s="96">
        <v>10000</v>
      </c>
      <c r="D53" s="21">
        <f>-E53+C53</f>
        <v>2000</v>
      </c>
      <c r="E53" s="22">
        <v>8000</v>
      </c>
      <c r="F53" s="91"/>
      <c r="G53" s="96">
        <v>10000</v>
      </c>
      <c r="H53" s="21">
        <f>-I53+G53</f>
        <v>10000</v>
      </c>
      <c r="I53" s="22">
        <v>0</v>
      </c>
      <c r="K53" s="22">
        <v>10000</v>
      </c>
      <c r="L53" s="21">
        <f>-M53+K53</f>
        <v>10000</v>
      </c>
      <c r="M53" s="22">
        <v>0</v>
      </c>
    </row>
    <row r="54" spans="1:13">
      <c r="A54" s="25" t="s">
        <v>78</v>
      </c>
      <c r="B54" s="20" t="s">
        <v>52</v>
      </c>
      <c r="C54" s="96">
        <v>8453.5</v>
      </c>
      <c r="D54" s="21">
        <f>-E54+C54</f>
        <v>8453.5</v>
      </c>
      <c r="E54" s="22">
        <v>0</v>
      </c>
      <c r="F54" s="91"/>
      <c r="G54" s="96">
        <f>G3*0.5-G53</f>
        <v>8250</v>
      </c>
      <c r="H54" s="21">
        <f>-I54+G54</f>
        <v>8250</v>
      </c>
      <c r="I54" s="22">
        <v>0</v>
      </c>
      <c r="K54" s="26">
        <f>K3*0.5-K53</f>
        <v>7750</v>
      </c>
      <c r="L54" s="21">
        <f>-M54+K54</f>
        <v>7750</v>
      </c>
      <c r="M54" s="22">
        <v>0</v>
      </c>
    </row>
    <row r="55" spans="1:13">
      <c r="A55" s="36" t="s">
        <v>79</v>
      </c>
      <c r="B55" s="37" t="s">
        <v>54</v>
      </c>
      <c r="C55" s="98">
        <v>12311.25</v>
      </c>
      <c r="D55" s="21">
        <f>-E55+C55</f>
        <v>12311.25</v>
      </c>
      <c r="E55" s="22">
        <v>0</v>
      </c>
      <c r="F55" s="91"/>
      <c r="G55" s="98">
        <f>I3*0.35</f>
        <v>12075</v>
      </c>
      <c r="H55" s="21">
        <f>-I55+G55</f>
        <v>12075</v>
      </c>
      <c r="I55" s="22">
        <v>0</v>
      </c>
      <c r="K55" s="38">
        <f>M3*0.5</f>
        <v>16750</v>
      </c>
      <c r="L55" s="21">
        <f>-M55+K55</f>
        <v>16750</v>
      </c>
      <c r="M55" s="22">
        <v>0</v>
      </c>
    </row>
    <row r="56" spans="1:13">
      <c r="A56" s="36" t="s">
        <v>80</v>
      </c>
      <c r="B56" s="37" t="s">
        <v>56</v>
      </c>
      <c r="C56" s="38">
        <v>8000</v>
      </c>
      <c r="D56" s="21">
        <f>-E56+C56</f>
        <v>8000</v>
      </c>
      <c r="E56" s="38">
        <v>0</v>
      </c>
      <c r="F56" s="91"/>
      <c r="G56" s="38">
        <v>0</v>
      </c>
      <c r="H56" s="21">
        <f>-I56+G56</f>
        <v>0</v>
      </c>
      <c r="I56" s="38">
        <v>0</v>
      </c>
      <c r="K56" s="38">
        <v>0</v>
      </c>
      <c r="L56" s="21">
        <f>-M56+K56</f>
        <v>0</v>
      </c>
      <c r="M56" s="38">
        <v>0</v>
      </c>
    </row>
    <row r="57" spans="1:13">
      <c r="A57" s="27" t="s">
        <v>81</v>
      </c>
      <c r="B57" s="16" t="s">
        <v>82</v>
      </c>
      <c r="C57" s="17">
        <f>SUM(C58:C61)</f>
        <v>92082</v>
      </c>
      <c r="D57" s="18">
        <f>SUM(D58:D61)</f>
        <v>1086.0099999999948</v>
      </c>
      <c r="E57" s="17">
        <f>SUM(E58:E61)</f>
        <v>90995.99</v>
      </c>
      <c r="F57" s="64"/>
      <c r="G57" s="17">
        <f>SUM(G58:G61)</f>
        <v>71000</v>
      </c>
      <c r="H57" s="18">
        <f>SUM(H58:H61)</f>
        <v>-34089</v>
      </c>
      <c r="I57" s="17">
        <f>SUM(I58:I61)</f>
        <v>105089</v>
      </c>
      <c r="K57" s="17">
        <f>SUM(K58:K61)</f>
        <v>69000</v>
      </c>
      <c r="L57" s="18">
        <f>SUM(L58:L61)</f>
        <v>-33589</v>
      </c>
      <c r="M57" s="17">
        <f>SUM(M58:M61)</f>
        <v>102589</v>
      </c>
    </row>
    <row r="58" spans="1:13">
      <c r="A58" s="25" t="s">
        <v>83</v>
      </c>
      <c r="B58" s="20" t="s">
        <v>41</v>
      </c>
      <c r="C58" s="96">
        <v>20000</v>
      </c>
      <c r="D58" s="97">
        <f>-E58+C58</f>
        <v>0</v>
      </c>
      <c r="E58" s="96">
        <v>20000</v>
      </c>
      <c r="F58" s="91"/>
      <c r="G58" s="96">
        <v>20000</v>
      </c>
      <c r="H58" s="97">
        <f>-I58+G58</f>
        <v>-14500</v>
      </c>
      <c r="I58" s="96">
        <f>G60</f>
        <v>34500</v>
      </c>
      <c r="K58" s="22">
        <v>20000</v>
      </c>
      <c r="L58" s="21">
        <f>-M58+K58</f>
        <v>-13000</v>
      </c>
      <c r="M58" s="22">
        <v>33000</v>
      </c>
    </row>
    <row r="59" spans="1:13">
      <c r="A59" s="25" t="s">
        <v>84</v>
      </c>
      <c r="B59" s="20" t="s">
        <v>52</v>
      </c>
      <c r="C59" s="96">
        <v>16907</v>
      </c>
      <c r="D59" s="97">
        <f>-E59+C59</f>
        <v>-54088.990000000005</v>
      </c>
      <c r="E59" s="96">
        <v>70995.990000000005</v>
      </c>
      <c r="F59" s="91"/>
      <c r="G59" s="96">
        <f>G3*1-G58</f>
        <v>16500</v>
      </c>
      <c r="H59" s="97">
        <f>-I59+G59</f>
        <v>-54089</v>
      </c>
      <c r="I59" s="96">
        <f>G58+G59+34089</f>
        <v>70589</v>
      </c>
      <c r="K59" s="26">
        <f>K3*1-K58</f>
        <v>15500</v>
      </c>
      <c r="L59" s="39">
        <f>-M59+K59</f>
        <v>-54089</v>
      </c>
      <c r="M59" s="26">
        <f>K58+K59+34089</f>
        <v>69589</v>
      </c>
    </row>
    <row r="60" spans="1:13">
      <c r="A60" s="36" t="s">
        <v>85</v>
      </c>
      <c r="B60" s="37" t="s">
        <v>54</v>
      </c>
      <c r="C60" s="98">
        <v>35175</v>
      </c>
      <c r="D60" s="97">
        <f>-E60+C60</f>
        <v>35175</v>
      </c>
      <c r="E60" s="96">
        <v>0</v>
      </c>
      <c r="F60" s="91"/>
      <c r="G60" s="98">
        <f>I3*1</f>
        <v>34500</v>
      </c>
      <c r="H60" s="97">
        <f>-I60+G60</f>
        <v>34500</v>
      </c>
      <c r="I60" s="96">
        <v>0</v>
      </c>
      <c r="K60" s="38">
        <f>M3*1</f>
        <v>33500</v>
      </c>
      <c r="L60" s="21">
        <f>-M60+K60</f>
        <v>33500</v>
      </c>
      <c r="M60" s="26">
        <v>0</v>
      </c>
    </row>
    <row r="61" spans="1:13">
      <c r="A61" s="36" t="s">
        <v>86</v>
      </c>
      <c r="B61" s="37" t="s">
        <v>56</v>
      </c>
      <c r="C61" s="38">
        <v>20000</v>
      </c>
      <c r="D61" s="21">
        <f>-E61+C61</f>
        <v>20000</v>
      </c>
      <c r="E61" s="22">
        <v>0</v>
      </c>
      <c r="F61" s="91"/>
      <c r="G61" s="38">
        <v>0</v>
      </c>
      <c r="H61" s="21">
        <f>-I61+G61</f>
        <v>0</v>
      </c>
      <c r="I61" s="22">
        <v>0</v>
      </c>
      <c r="K61" s="38">
        <v>0</v>
      </c>
      <c r="L61" s="21">
        <f>-M61+K61</f>
        <v>0</v>
      </c>
      <c r="M61" s="22">
        <v>0</v>
      </c>
    </row>
    <row r="62" spans="1:13" ht="21">
      <c r="A62" s="32" t="s">
        <v>87</v>
      </c>
      <c r="B62" s="33" t="s">
        <v>88</v>
      </c>
      <c r="C62" s="40">
        <f>SUM(C63,C65,C68)</f>
        <v>3212.76</v>
      </c>
      <c r="D62" s="41">
        <f>SUM(D63,D65,D68)</f>
        <v>-30142.320000000003</v>
      </c>
      <c r="E62" s="42">
        <f>SUM(E63,E65,E68)</f>
        <v>33355.08</v>
      </c>
      <c r="F62" s="64"/>
      <c r="G62" s="40">
        <f>SUM(G63,G65,G68)</f>
        <v>0</v>
      </c>
      <c r="H62" s="41">
        <f>SUM(H63,H65,H68)</f>
        <v>-85322.240000000005</v>
      </c>
      <c r="I62" s="42">
        <f>SUM(I63,I65,I68)</f>
        <v>85322.240000000005</v>
      </c>
      <c r="K62" s="40">
        <f>SUM(K63,K65,K68)</f>
        <v>0</v>
      </c>
      <c r="L62" s="41">
        <f>SUM(L63,L65,L68)</f>
        <v>-89842.450000000012</v>
      </c>
      <c r="M62" s="42">
        <f>SUM(M63,M65,M68)</f>
        <v>89842.450000000012</v>
      </c>
    </row>
    <row r="63" spans="1:13">
      <c r="A63" s="27" t="s">
        <v>89</v>
      </c>
      <c r="B63" s="16" t="s">
        <v>90</v>
      </c>
      <c r="C63" s="43">
        <f>SUM(C64)</f>
        <v>2805</v>
      </c>
      <c r="D63" s="44">
        <f>SUM(D64)</f>
        <v>-345</v>
      </c>
      <c r="E63" s="43">
        <f>SUM(E64)</f>
        <v>3150</v>
      </c>
      <c r="F63" s="64"/>
      <c r="G63" s="43">
        <f>SUM(G64)</f>
        <v>0</v>
      </c>
      <c r="H63" s="44">
        <f>SUM(H64)</f>
        <v>-43780.3</v>
      </c>
      <c r="I63" s="43">
        <f>SUM(I64)</f>
        <v>43780.3</v>
      </c>
      <c r="K63" s="43">
        <f>SUM(K64)</f>
        <v>0</v>
      </c>
      <c r="L63" s="44">
        <f>SUM(L64)</f>
        <v>-44342.450000000004</v>
      </c>
      <c r="M63" s="43">
        <f>SUM(M64)</f>
        <v>44342.450000000004</v>
      </c>
    </row>
    <row r="64" spans="1:13">
      <c r="A64" s="25" t="s">
        <v>91</v>
      </c>
      <c r="B64" s="20" t="s">
        <v>90</v>
      </c>
      <c r="C64" s="22">
        <v>2805</v>
      </c>
      <c r="D64" s="21">
        <f>-E64+C64</f>
        <v>-345</v>
      </c>
      <c r="E64" s="26">
        <v>3150</v>
      </c>
      <c r="F64" s="91"/>
      <c r="G64" s="22">
        <v>0</v>
      </c>
      <c r="H64" s="21">
        <f>-I64+G64</f>
        <v>-43780.3</v>
      </c>
      <c r="I64" s="26">
        <f>G16+3396.54</f>
        <v>43780.3</v>
      </c>
      <c r="K64" s="22">
        <v>0</v>
      </c>
      <c r="L64" s="21">
        <f>-M64+K64</f>
        <v>-44342.450000000004</v>
      </c>
      <c r="M64" s="26">
        <f>K16+3958.69</f>
        <v>44342.450000000004</v>
      </c>
    </row>
    <row r="65" spans="1:13">
      <c r="A65" s="27" t="s">
        <v>92</v>
      </c>
      <c r="B65" s="16" t="s">
        <v>93</v>
      </c>
      <c r="C65" s="17">
        <f>SUM(C66:C67)</f>
        <v>0</v>
      </c>
      <c r="D65" s="44">
        <f>SUM(D66:D67)</f>
        <v>0</v>
      </c>
      <c r="E65" s="17">
        <f>SUM(E66:E67)</f>
        <v>0</v>
      </c>
      <c r="F65" s="64"/>
      <c r="G65" s="17">
        <f>SUM(G66:G67)</f>
        <v>0</v>
      </c>
      <c r="H65" s="44">
        <f>SUM(H66:H67)</f>
        <v>-1000</v>
      </c>
      <c r="I65" s="17">
        <f>SUM(I66:I67)</f>
        <v>1000</v>
      </c>
      <c r="K65" s="17">
        <f>SUM(K66:K67)</f>
        <v>0</v>
      </c>
      <c r="L65" s="44">
        <f>SUM(L66:L67)</f>
        <v>-1000</v>
      </c>
      <c r="M65" s="17">
        <f>SUM(M66:M67)</f>
        <v>1000</v>
      </c>
    </row>
    <row r="66" spans="1:13">
      <c r="A66" s="25" t="s">
        <v>94</v>
      </c>
      <c r="B66" s="20" t="s">
        <v>95</v>
      </c>
      <c r="C66" s="22">
        <v>0</v>
      </c>
      <c r="D66" s="21">
        <f>-E66+C66</f>
        <v>0</v>
      </c>
      <c r="E66" s="26">
        <v>0</v>
      </c>
      <c r="F66" s="91"/>
      <c r="G66" s="22">
        <v>0</v>
      </c>
      <c r="H66" s="21">
        <f>-I66+G66</f>
        <v>-500</v>
      </c>
      <c r="I66" s="26">
        <v>500</v>
      </c>
      <c r="K66" s="22">
        <v>0</v>
      </c>
      <c r="L66" s="21">
        <f>-M66+K66</f>
        <v>-500</v>
      </c>
      <c r="M66" s="26">
        <v>500</v>
      </c>
    </row>
    <row r="67" spans="1:13">
      <c r="A67" s="25" t="s">
        <v>96</v>
      </c>
      <c r="B67" s="20" t="s">
        <v>97</v>
      </c>
      <c r="C67" s="22">
        <v>0</v>
      </c>
      <c r="D67" s="21">
        <f>-E67+C67</f>
        <v>0</v>
      </c>
      <c r="E67" s="26">
        <v>0</v>
      </c>
      <c r="F67" s="91"/>
      <c r="G67" s="22">
        <v>0</v>
      </c>
      <c r="H67" s="21">
        <f>-I67+G67</f>
        <v>-500</v>
      </c>
      <c r="I67" s="26">
        <v>500</v>
      </c>
      <c r="K67" s="22">
        <v>0</v>
      </c>
      <c r="L67" s="21">
        <f>-M67+K67</f>
        <v>-500</v>
      </c>
      <c r="M67" s="26">
        <v>500</v>
      </c>
    </row>
    <row r="68" spans="1:13">
      <c r="A68" s="27" t="s">
        <v>98</v>
      </c>
      <c r="B68" s="16" t="s">
        <v>99</v>
      </c>
      <c r="C68" s="43">
        <f>SUM(C69)</f>
        <v>407.76</v>
      </c>
      <c r="D68" s="49">
        <f>SUM(D69)</f>
        <v>-29797.320000000003</v>
      </c>
      <c r="E68" s="43">
        <f>SUM(E69)</f>
        <v>30205.08</v>
      </c>
      <c r="F68" s="64"/>
      <c r="G68" s="43">
        <f>SUM(G69)</f>
        <v>0</v>
      </c>
      <c r="H68" s="49">
        <f>SUM(H69)</f>
        <v>-40541.94</v>
      </c>
      <c r="I68" s="43">
        <f>SUM(I69)</f>
        <v>40541.94</v>
      </c>
      <c r="K68" s="43">
        <f>SUM(K69)</f>
        <v>0</v>
      </c>
      <c r="L68" s="49">
        <f>SUM(L69)</f>
        <v>-44500</v>
      </c>
      <c r="M68" s="43">
        <f>SUM(M69)</f>
        <v>44500</v>
      </c>
    </row>
    <row r="69" spans="1:13">
      <c r="A69" s="25" t="s">
        <v>100</v>
      </c>
      <c r="B69" s="20" t="s">
        <v>99</v>
      </c>
      <c r="C69" s="22">
        <v>407.76</v>
      </c>
      <c r="D69" s="21">
        <f>-E69+C69</f>
        <v>-29797.320000000003</v>
      </c>
      <c r="E69" s="96">
        <v>30205.08</v>
      </c>
      <c r="F69" s="91"/>
      <c r="G69" s="22">
        <v>0</v>
      </c>
      <c r="H69" s="21">
        <f>-I69+G69</f>
        <v>-40541.94</v>
      </c>
      <c r="I69" s="96">
        <f>G53+G54+G55+10216.94</f>
        <v>40541.94</v>
      </c>
      <c r="K69" s="22">
        <v>0</v>
      </c>
      <c r="L69" s="21">
        <f>-M69+K69</f>
        <v>-44500</v>
      </c>
      <c r="M69" s="26">
        <f>K53+K54+K55+10000</f>
        <v>44500</v>
      </c>
    </row>
    <row r="70" spans="1:13" ht="21">
      <c r="A70" s="32" t="s">
        <v>101</v>
      </c>
      <c r="B70" s="33" t="s">
        <v>102</v>
      </c>
      <c r="C70" s="34">
        <f>SUM(C71,C73,C75,C80,C87,C93,C100)</f>
        <v>140056.79999999999</v>
      </c>
      <c r="D70" s="50">
        <f>SUM(D71,D73,D75,D80,D87,D93,D100)</f>
        <v>-59795.11</v>
      </c>
      <c r="E70" s="34">
        <f>SUM(E71,E73,E75,E80,E87,E93,E100)</f>
        <v>199851.91</v>
      </c>
      <c r="F70" s="64"/>
      <c r="G70" s="34">
        <f>SUM(G71,G73,G75,G80,G87,G93,G100)</f>
        <v>115400</v>
      </c>
      <c r="H70" s="50">
        <f>SUM(H71,H73,H75,H80,H87,H93,H100)</f>
        <v>-149000</v>
      </c>
      <c r="I70" s="34">
        <f>SUM(I71,I73,I75,I80,I87,I93,I100)</f>
        <v>264400</v>
      </c>
      <c r="K70" s="34">
        <f>SUM(K71,K73,K75,K80,K87,K93,K100)</f>
        <v>115000</v>
      </c>
      <c r="L70" s="50">
        <f>SUM(L71,L73,L75,L80,L87,L93,L100)</f>
        <v>-149327</v>
      </c>
      <c r="M70" s="34">
        <f>SUM(M71,M73,M75,M80,M87,M93,M100)</f>
        <v>264327</v>
      </c>
    </row>
    <row r="71" spans="1:13">
      <c r="A71" s="27" t="s">
        <v>103</v>
      </c>
      <c r="B71" s="16" t="s">
        <v>104</v>
      </c>
      <c r="C71" s="43">
        <f>SUM(C72)</f>
        <v>0</v>
      </c>
      <c r="D71" s="18">
        <f>SUM(D72)</f>
        <v>-17580.29</v>
      </c>
      <c r="E71" s="43">
        <f>SUM(E72)</f>
        <v>17580.29</v>
      </c>
      <c r="F71" s="64"/>
      <c r="G71" s="43">
        <f>SUM(G72)</f>
        <v>0</v>
      </c>
      <c r="H71" s="18">
        <f>SUM(H72)</f>
        <v>-20000</v>
      </c>
      <c r="I71" s="43">
        <f>SUM(I72)</f>
        <v>20000</v>
      </c>
      <c r="K71" s="43">
        <f>SUM(K72)</f>
        <v>0</v>
      </c>
      <c r="L71" s="18">
        <f>SUM(L72)</f>
        <v>-20000</v>
      </c>
      <c r="M71" s="43">
        <f>SUM(M72)</f>
        <v>20000</v>
      </c>
    </row>
    <row r="72" spans="1:13">
      <c r="A72" s="25" t="s">
        <v>105</v>
      </c>
      <c r="B72" s="20" t="s">
        <v>104</v>
      </c>
      <c r="C72" s="22">
        <v>0</v>
      </c>
      <c r="D72" s="21">
        <f>-E72+C72</f>
        <v>-17580.29</v>
      </c>
      <c r="E72" s="26">
        <v>17580.29</v>
      </c>
      <c r="F72" s="91"/>
      <c r="G72" s="22">
        <v>0</v>
      </c>
      <c r="H72" s="21">
        <f>-I72+G72</f>
        <v>-20000</v>
      </c>
      <c r="I72" s="26">
        <v>20000</v>
      </c>
      <c r="K72" s="22">
        <v>0</v>
      </c>
      <c r="L72" s="21">
        <f>-M72+K72</f>
        <v>-20000</v>
      </c>
      <c r="M72" s="26">
        <v>20000</v>
      </c>
    </row>
    <row r="73" spans="1:13">
      <c r="A73" s="27" t="s">
        <v>106</v>
      </c>
      <c r="B73" s="16" t="s">
        <v>107</v>
      </c>
      <c r="C73" s="43">
        <f>SUM(C74)</f>
        <v>0</v>
      </c>
      <c r="D73" s="18">
        <f>SUM(D74)</f>
        <v>-4743</v>
      </c>
      <c r="E73" s="43">
        <f>SUM(E74)</f>
        <v>4743</v>
      </c>
      <c r="F73" s="64"/>
      <c r="G73" s="43">
        <f>SUM(G74)</f>
        <v>0</v>
      </c>
      <c r="H73" s="18">
        <f>SUM(H74)</f>
        <v>-15000</v>
      </c>
      <c r="I73" s="43">
        <f>SUM(I74)</f>
        <v>15000</v>
      </c>
      <c r="K73" s="43">
        <f>SUM(K74)</f>
        <v>0</v>
      </c>
      <c r="L73" s="18">
        <f>SUM(L74)</f>
        <v>-15000</v>
      </c>
      <c r="M73" s="43">
        <f>SUM(M74)</f>
        <v>15000</v>
      </c>
    </row>
    <row r="74" spans="1:13">
      <c r="A74" s="25" t="s">
        <v>108</v>
      </c>
      <c r="B74" s="20" t="s">
        <v>107</v>
      </c>
      <c r="C74" s="22">
        <v>0</v>
      </c>
      <c r="D74" s="21">
        <f>-E74+C74</f>
        <v>-4743</v>
      </c>
      <c r="E74" s="26">
        <v>4743</v>
      </c>
      <c r="F74" s="91"/>
      <c r="G74" s="22">
        <v>0</v>
      </c>
      <c r="H74" s="21">
        <f>-I74+G74</f>
        <v>-15000</v>
      </c>
      <c r="I74" s="26">
        <v>15000</v>
      </c>
      <c r="K74" s="22">
        <v>0</v>
      </c>
      <c r="L74" s="21">
        <f>-M74+K74</f>
        <v>-15000</v>
      </c>
      <c r="M74" s="26">
        <v>15000</v>
      </c>
    </row>
    <row r="75" spans="1:13">
      <c r="A75" s="51" t="s">
        <v>109</v>
      </c>
      <c r="B75" s="52" t="s">
        <v>110</v>
      </c>
      <c r="C75" s="43">
        <f>SUM(C76:C79)</f>
        <v>106750</v>
      </c>
      <c r="D75" s="18">
        <f>SUM(D76:D79)</f>
        <v>28760.449999999997</v>
      </c>
      <c r="E75" s="43">
        <f>SUM(E76:E79)</f>
        <v>77989.549999999988</v>
      </c>
      <c r="F75" s="64"/>
      <c r="G75" s="43">
        <f>SUM(G76:G79)</f>
        <v>113400</v>
      </c>
      <c r="H75" s="18">
        <f>SUM(H76:H79)</f>
        <v>0</v>
      </c>
      <c r="I75" s="43">
        <f>SUM(I76:I79)</f>
        <v>113400</v>
      </c>
      <c r="K75" s="43">
        <f>SUM(K76:K79)</f>
        <v>113400</v>
      </c>
      <c r="L75" s="18">
        <f>SUM(L76:L79)</f>
        <v>0</v>
      </c>
      <c r="M75" s="43">
        <f>SUM(M76:M79)</f>
        <v>113400</v>
      </c>
    </row>
    <row r="76" spans="1:13">
      <c r="A76" s="25" t="s">
        <v>111</v>
      </c>
      <c r="B76" s="20" t="s">
        <v>112</v>
      </c>
      <c r="C76" s="26">
        <v>106750</v>
      </c>
      <c r="D76" s="21">
        <f>-E76+C76</f>
        <v>102900</v>
      </c>
      <c r="E76" s="22">
        <v>3850</v>
      </c>
      <c r="F76" s="91"/>
      <c r="G76" s="26">
        <f>300*7*18*3</f>
        <v>113400</v>
      </c>
      <c r="H76" s="21">
        <f>-I76+G76</f>
        <v>113400</v>
      </c>
      <c r="I76" s="22">
        <v>0</v>
      </c>
      <c r="K76" s="26">
        <f>300*7*18*3</f>
        <v>113400</v>
      </c>
      <c r="L76" s="21">
        <f>-M76+K76</f>
        <v>113400</v>
      </c>
      <c r="M76" s="22">
        <v>0</v>
      </c>
    </row>
    <row r="77" spans="1:13">
      <c r="A77" s="25" t="s">
        <v>113</v>
      </c>
      <c r="B77" s="20" t="s">
        <v>114</v>
      </c>
      <c r="C77" s="22">
        <v>0</v>
      </c>
      <c r="D77" s="21">
        <f>-E77+C77</f>
        <v>-66255</v>
      </c>
      <c r="E77" s="26">
        <v>66255</v>
      </c>
      <c r="F77" s="91"/>
      <c r="G77" s="22">
        <v>0</v>
      </c>
      <c r="H77" s="21">
        <f>-I77+G77</f>
        <v>-88200</v>
      </c>
      <c r="I77" s="26">
        <v>88200</v>
      </c>
      <c r="K77" s="22">
        <v>0</v>
      </c>
      <c r="L77" s="21">
        <f>-M77+K77</f>
        <v>-88200</v>
      </c>
      <c r="M77" s="26">
        <v>88200</v>
      </c>
    </row>
    <row r="78" spans="1:13">
      <c r="A78" s="25" t="s">
        <v>115</v>
      </c>
      <c r="B78" s="20" t="s">
        <v>116</v>
      </c>
      <c r="C78" s="22">
        <v>0</v>
      </c>
      <c r="D78" s="21">
        <f>-E78+C78</f>
        <v>-124.9</v>
      </c>
      <c r="E78" s="26">
        <v>124.9</v>
      </c>
      <c r="F78" s="91"/>
      <c r="G78" s="22">
        <v>0</v>
      </c>
      <c r="H78" s="21">
        <f>-I78+G78</f>
        <v>-1000</v>
      </c>
      <c r="I78" s="26">
        <v>1000</v>
      </c>
      <c r="K78" s="22">
        <v>0</v>
      </c>
      <c r="L78" s="21">
        <f>-M78+K78</f>
        <v>-1000</v>
      </c>
      <c r="M78" s="26">
        <v>1000</v>
      </c>
    </row>
    <row r="79" spans="1:13">
      <c r="A79" s="25" t="s">
        <v>397</v>
      </c>
      <c r="B79" s="20" t="s">
        <v>398</v>
      </c>
      <c r="C79" s="22">
        <v>0</v>
      </c>
      <c r="D79" s="21">
        <f>-E79+C79</f>
        <v>-7759.65</v>
      </c>
      <c r="E79" s="26">
        <v>7759.65</v>
      </c>
      <c r="F79" s="91"/>
      <c r="G79" s="22">
        <v>0</v>
      </c>
      <c r="H79" s="21">
        <f>-I79+G79</f>
        <v>-24200</v>
      </c>
      <c r="I79" s="26">
        <f>3000+5400+5780+10020</f>
        <v>24200</v>
      </c>
      <c r="K79" s="22">
        <v>0</v>
      </c>
      <c r="L79" s="21">
        <f>-M79+K79</f>
        <v>-24200</v>
      </c>
      <c r="M79" s="26">
        <f>3000+5400+780+15020</f>
        <v>24200</v>
      </c>
    </row>
    <row r="80" spans="1:13">
      <c r="A80" s="27" t="s">
        <v>119</v>
      </c>
      <c r="B80" s="16" t="s">
        <v>120</v>
      </c>
      <c r="C80" s="43">
        <f>SUM(C81:C86)</f>
        <v>0</v>
      </c>
      <c r="D80" s="18">
        <f>SUM(D81:D86)</f>
        <v>-1070</v>
      </c>
      <c r="E80" s="43">
        <f>SUM(E81:E86)</f>
        <v>1070</v>
      </c>
      <c r="F80" s="64"/>
      <c r="G80" s="43">
        <f>SUM(G81:G86)</f>
        <v>0</v>
      </c>
      <c r="H80" s="18">
        <f>SUM(H81:H86)</f>
        <v>-1000</v>
      </c>
      <c r="I80" s="43">
        <f>SUM(I81:I86)</f>
        <v>1000</v>
      </c>
      <c r="K80" s="43">
        <f>SUM(K81:K86)</f>
        <v>0</v>
      </c>
      <c r="L80" s="18">
        <f>SUM(L81:L86)</f>
        <v>-1927</v>
      </c>
      <c r="M80" s="43">
        <f>SUM(M81:M86)</f>
        <v>1927</v>
      </c>
    </row>
    <row r="81" spans="1:13">
      <c r="A81" s="25" t="s">
        <v>121</v>
      </c>
      <c r="B81" s="20" t="s">
        <v>122</v>
      </c>
      <c r="C81" s="26">
        <v>0</v>
      </c>
      <c r="D81" s="21">
        <f t="shared" ref="D81:D86" si="3">-E81+C81</f>
        <v>-70</v>
      </c>
      <c r="E81" s="26">
        <v>70</v>
      </c>
      <c r="F81" s="91"/>
      <c r="G81" s="26">
        <v>0</v>
      </c>
      <c r="H81" s="21">
        <f t="shared" ref="H81:H86" si="4">-I81+G81</f>
        <v>0</v>
      </c>
      <c r="I81" s="26">
        <v>0</v>
      </c>
      <c r="K81" s="26">
        <v>0</v>
      </c>
      <c r="L81" s="21">
        <f t="shared" ref="L81:L86" si="5">-M81+K81</f>
        <v>0</v>
      </c>
      <c r="M81" s="26">
        <v>0</v>
      </c>
    </row>
    <row r="82" spans="1:13">
      <c r="A82" s="25" t="s">
        <v>123</v>
      </c>
      <c r="B82" s="20" t="s">
        <v>124</v>
      </c>
      <c r="C82" s="26">
        <v>0</v>
      </c>
      <c r="D82" s="21">
        <f t="shared" si="3"/>
        <v>0</v>
      </c>
      <c r="E82" s="26">
        <v>0</v>
      </c>
      <c r="F82" s="91"/>
      <c r="G82" s="26">
        <v>0</v>
      </c>
      <c r="H82" s="21">
        <f t="shared" si="4"/>
        <v>0</v>
      </c>
      <c r="I82" s="26">
        <v>0</v>
      </c>
      <c r="K82" s="26">
        <v>0</v>
      </c>
      <c r="L82" s="21">
        <f t="shared" si="5"/>
        <v>0</v>
      </c>
      <c r="M82" s="26">
        <v>0</v>
      </c>
    </row>
    <row r="83" spans="1:13">
      <c r="A83" s="25" t="s">
        <v>125</v>
      </c>
      <c r="B83" s="20" t="s">
        <v>126</v>
      </c>
      <c r="C83" s="26">
        <v>0</v>
      </c>
      <c r="D83" s="21">
        <f t="shared" si="3"/>
        <v>-1000</v>
      </c>
      <c r="E83" s="96">
        <v>1000</v>
      </c>
      <c r="F83" s="91"/>
      <c r="G83" s="26">
        <v>0</v>
      </c>
      <c r="H83" s="21">
        <f t="shared" si="4"/>
        <v>-1000</v>
      </c>
      <c r="I83" s="96">
        <v>1000</v>
      </c>
      <c r="K83" s="26">
        <v>0</v>
      </c>
      <c r="L83" s="21">
        <f t="shared" si="5"/>
        <v>-1927</v>
      </c>
      <c r="M83" s="26">
        <f>27*51+550</f>
        <v>1927</v>
      </c>
    </row>
    <row r="84" spans="1:13">
      <c r="A84" s="25" t="s">
        <v>127</v>
      </c>
      <c r="B84" s="20" t="s">
        <v>128</v>
      </c>
      <c r="C84" s="26">
        <v>0</v>
      </c>
      <c r="D84" s="21">
        <f t="shared" si="3"/>
        <v>0</v>
      </c>
      <c r="E84" s="26">
        <v>0</v>
      </c>
      <c r="F84" s="91"/>
      <c r="G84" s="26">
        <v>0</v>
      </c>
      <c r="H84" s="21">
        <f t="shared" si="4"/>
        <v>0</v>
      </c>
      <c r="I84" s="26">
        <v>0</v>
      </c>
      <c r="K84" s="26">
        <v>0</v>
      </c>
      <c r="L84" s="21">
        <f t="shared" si="5"/>
        <v>0</v>
      </c>
      <c r="M84" s="26">
        <v>0</v>
      </c>
    </row>
    <row r="85" spans="1:13">
      <c r="A85" s="25" t="s">
        <v>129</v>
      </c>
      <c r="B85" s="20" t="s">
        <v>130</v>
      </c>
      <c r="C85" s="26">
        <v>0</v>
      </c>
      <c r="D85" s="21">
        <f t="shared" si="3"/>
        <v>0</v>
      </c>
      <c r="E85" s="26">
        <v>0</v>
      </c>
      <c r="F85" s="91"/>
      <c r="G85" s="26">
        <v>0</v>
      </c>
      <c r="H85" s="21">
        <f t="shared" si="4"/>
        <v>0</v>
      </c>
      <c r="I85" s="26">
        <v>0</v>
      </c>
      <c r="K85" s="26">
        <v>0</v>
      </c>
      <c r="L85" s="21">
        <f t="shared" si="5"/>
        <v>0</v>
      </c>
      <c r="M85" s="26">
        <v>0</v>
      </c>
    </row>
    <row r="86" spans="1:13">
      <c r="A86" s="25" t="s">
        <v>131</v>
      </c>
      <c r="B86" s="20" t="s">
        <v>132</v>
      </c>
      <c r="C86" s="26">
        <v>0</v>
      </c>
      <c r="D86" s="21">
        <f t="shared" si="3"/>
        <v>0</v>
      </c>
      <c r="E86" s="26">
        <v>0</v>
      </c>
      <c r="F86" s="91"/>
      <c r="G86" s="26">
        <v>0</v>
      </c>
      <c r="H86" s="21">
        <f t="shared" si="4"/>
        <v>0</v>
      </c>
      <c r="I86" s="26">
        <v>0</v>
      </c>
      <c r="K86" s="26">
        <v>0</v>
      </c>
      <c r="L86" s="21">
        <f t="shared" si="5"/>
        <v>0</v>
      </c>
      <c r="M86" s="26">
        <v>0</v>
      </c>
    </row>
    <row r="87" spans="1:13">
      <c r="A87" s="27" t="s">
        <v>133</v>
      </c>
      <c r="B87" s="53" t="s">
        <v>134</v>
      </c>
      <c r="C87" s="17">
        <f>SUM(C88:C92)</f>
        <v>2484.91</v>
      </c>
      <c r="D87" s="18">
        <f>SUM(D88:D92)</f>
        <v>-20907.420000000002</v>
      </c>
      <c r="E87" s="17">
        <f>SUM(E88:E92)</f>
        <v>23392.33</v>
      </c>
      <c r="F87" s="64"/>
      <c r="G87" s="17">
        <f>SUM(G88:G92)</f>
        <v>1500</v>
      </c>
      <c r="H87" s="18">
        <f>SUM(H88:H92)</f>
        <v>-46000</v>
      </c>
      <c r="I87" s="17">
        <f>SUM(I88:I92)</f>
        <v>47500</v>
      </c>
      <c r="K87" s="17">
        <f>SUM(K88:K92)</f>
        <v>1500</v>
      </c>
      <c r="L87" s="18">
        <f>SUM(L88:L92)</f>
        <v>-45000</v>
      </c>
      <c r="M87" s="17">
        <f>SUM(M88:M92)</f>
        <v>46500</v>
      </c>
    </row>
    <row r="88" spans="1:13">
      <c r="A88" s="25" t="s">
        <v>135</v>
      </c>
      <c r="B88" s="54" t="s">
        <v>136</v>
      </c>
      <c r="C88" s="22">
        <v>0</v>
      </c>
      <c r="D88" s="21">
        <f>-E88+C88</f>
        <v>-2230.06</v>
      </c>
      <c r="E88" s="26">
        <v>2230.06</v>
      </c>
      <c r="F88" s="91"/>
      <c r="G88" s="22">
        <v>0</v>
      </c>
      <c r="H88" s="21">
        <f>-I88+G88</f>
        <v>-20000</v>
      </c>
      <c r="I88" s="26">
        <v>20000</v>
      </c>
      <c r="K88" s="22">
        <v>0</v>
      </c>
      <c r="L88" s="21">
        <f>-M88+K88</f>
        <v>-20000</v>
      </c>
      <c r="M88" s="26">
        <v>20000</v>
      </c>
    </row>
    <row r="89" spans="1:13">
      <c r="A89" s="25" t="s">
        <v>137</v>
      </c>
      <c r="B89" s="54" t="s">
        <v>138</v>
      </c>
      <c r="C89" s="26">
        <v>0</v>
      </c>
      <c r="D89" s="21">
        <f>-E89+C89</f>
        <v>-14927.15</v>
      </c>
      <c r="E89" s="26">
        <v>14927.15</v>
      </c>
      <c r="F89" s="91"/>
      <c r="G89" s="26">
        <v>0</v>
      </c>
      <c r="H89" s="21">
        <f>-I89+G89</f>
        <v>-20000</v>
      </c>
      <c r="I89" s="26">
        <f>15000+5000</f>
        <v>20000</v>
      </c>
      <c r="K89" s="26">
        <v>0</v>
      </c>
      <c r="L89" s="21">
        <f>-M89+K89</f>
        <v>-20000</v>
      </c>
      <c r="M89" s="26">
        <f>15000+5000</f>
        <v>20000</v>
      </c>
    </row>
    <row r="90" spans="1:13">
      <c r="A90" s="93" t="s">
        <v>409</v>
      </c>
      <c r="B90" s="54" t="s">
        <v>410</v>
      </c>
      <c r="C90" s="26">
        <v>2216.4899999999998</v>
      </c>
      <c r="D90" s="21">
        <f>-E90+C90</f>
        <v>-596.77000000000044</v>
      </c>
      <c r="E90" s="96">
        <v>2813.26</v>
      </c>
      <c r="F90" s="91"/>
      <c r="G90" s="26">
        <v>1000</v>
      </c>
      <c r="H90" s="21">
        <f>-I90+G90</f>
        <v>-2500</v>
      </c>
      <c r="I90" s="96">
        <v>3500</v>
      </c>
      <c r="K90" s="26">
        <v>1000</v>
      </c>
      <c r="L90" s="21">
        <f>-M90+K90</f>
        <v>-1500</v>
      </c>
      <c r="M90" s="26">
        <v>2500</v>
      </c>
    </row>
    <row r="91" spans="1:13">
      <c r="A91" s="93" t="s">
        <v>413</v>
      </c>
      <c r="B91" s="54" t="s">
        <v>414</v>
      </c>
      <c r="C91" s="26">
        <v>268.42</v>
      </c>
      <c r="D91" s="21">
        <f>-E91+C91</f>
        <v>-1884.15</v>
      </c>
      <c r="E91" s="26">
        <v>2152.5700000000002</v>
      </c>
      <c r="F91" s="91"/>
      <c r="G91" s="26">
        <v>500</v>
      </c>
      <c r="H91" s="21">
        <f>-I91+G91</f>
        <v>-2000</v>
      </c>
      <c r="I91" s="26">
        <v>2500</v>
      </c>
      <c r="K91" s="26">
        <v>500</v>
      </c>
      <c r="L91" s="21">
        <f>-M91+K91</f>
        <v>-2000</v>
      </c>
      <c r="M91" s="26">
        <v>2500</v>
      </c>
    </row>
    <row r="92" spans="1:13">
      <c r="A92" s="93" t="s">
        <v>421</v>
      </c>
      <c r="B92" s="54" t="s">
        <v>422</v>
      </c>
      <c r="C92" s="26">
        <v>0</v>
      </c>
      <c r="D92" s="21">
        <f>-E92+C92</f>
        <v>-1269.29</v>
      </c>
      <c r="E92" s="26">
        <v>1269.29</v>
      </c>
      <c r="F92" s="91"/>
      <c r="G92" s="26">
        <v>0</v>
      </c>
      <c r="H92" s="21">
        <f>-I92+G92</f>
        <v>-1500</v>
      </c>
      <c r="I92" s="26">
        <v>1500</v>
      </c>
      <c r="K92" s="26">
        <v>0</v>
      </c>
      <c r="L92" s="21">
        <f>-M92+K92</f>
        <v>-1500</v>
      </c>
      <c r="M92" s="26">
        <v>1500</v>
      </c>
    </row>
    <row r="93" spans="1:13">
      <c r="A93" s="27" t="s">
        <v>139</v>
      </c>
      <c r="B93" s="16" t="s">
        <v>140</v>
      </c>
      <c r="C93" s="17">
        <f>SUM(C94:C99)</f>
        <v>30636.59</v>
      </c>
      <c r="D93" s="18">
        <f>SUM(D94:D99)</f>
        <v>-43864.52</v>
      </c>
      <c r="E93" s="17">
        <f>SUM(E94:E99)</f>
        <v>74501.11</v>
      </c>
      <c r="F93" s="64"/>
      <c r="G93" s="17">
        <f>SUM(G94:G99)</f>
        <v>500</v>
      </c>
      <c r="H93" s="18">
        <f>SUM(H94:H99)</f>
        <v>-64500</v>
      </c>
      <c r="I93" s="17">
        <f>SUM(I94:I99)</f>
        <v>65000</v>
      </c>
      <c r="K93" s="17">
        <f>SUM(K94:K99)</f>
        <v>100</v>
      </c>
      <c r="L93" s="18">
        <f>SUM(L94:L99)</f>
        <v>-64900</v>
      </c>
      <c r="M93" s="17">
        <f>SUM(M94:M99)</f>
        <v>65000</v>
      </c>
    </row>
    <row r="94" spans="1:13">
      <c r="A94" s="93" t="s">
        <v>141</v>
      </c>
      <c r="B94" s="54" t="s">
        <v>416</v>
      </c>
      <c r="C94" s="96">
        <v>232.75</v>
      </c>
      <c r="D94" s="21">
        <f t="shared" ref="D94:D99" si="6">-E94+C94</f>
        <v>232.75</v>
      </c>
      <c r="E94" s="22">
        <v>0</v>
      </c>
      <c r="F94" s="91"/>
      <c r="G94" s="96">
        <v>500</v>
      </c>
      <c r="H94" s="21">
        <f t="shared" ref="H94:H99" si="7">-I94+G94</f>
        <v>500</v>
      </c>
      <c r="I94" s="22">
        <v>0</v>
      </c>
      <c r="K94" s="26">
        <v>100</v>
      </c>
      <c r="L94" s="21">
        <f t="shared" ref="L94:L99" si="8">-M94+K94</f>
        <v>100</v>
      </c>
      <c r="M94" s="22">
        <v>0</v>
      </c>
    </row>
    <row r="95" spans="1:13">
      <c r="A95" s="25" t="s">
        <v>142</v>
      </c>
      <c r="B95" s="20" t="s">
        <v>122</v>
      </c>
      <c r="C95" s="26">
        <v>190</v>
      </c>
      <c r="D95" s="21">
        <f t="shared" si="6"/>
        <v>190</v>
      </c>
      <c r="E95" s="26">
        <v>0</v>
      </c>
      <c r="F95" s="91"/>
      <c r="G95" s="26">
        <v>0</v>
      </c>
      <c r="H95" s="21">
        <f t="shared" si="7"/>
        <v>0</v>
      </c>
      <c r="I95" s="26">
        <v>0</v>
      </c>
      <c r="K95" s="26">
        <v>0</v>
      </c>
      <c r="L95" s="21">
        <f t="shared" si="8"/>
        <v>0</v>
      </c>
      <c r="M95" s="26">
        <v>0</v>
      </c>
    </row>
    <row r="96" spans="1:13">
      <c r="A96" s="25" t="s">
        <v>143</v>
      </c>
      <c r="B96" s="20" t="s">
        <v>144</v>
      </c>
      <c r="C96" s="22">
        <v>0</v>
      </c>
      <c r="D96" s="21">
        <f t="shared" si="6"/>
        <v>0</v>
      </c>
      <c r="E96" s="22">
        <v>0</v>
      </c>
      <c r="F96" s="91"/>
      <c r="G96" s="22">
        <v>0</v>
      </c>
      <c r="H96" s="21">
        <f t="shared" si="7"/>
        <v>0</v>
      </c>
      <c r="I96" s="22">
        <v>0</v>
      </c>
      <c r="K96" s="22">
        <v>0</v>
      </c>
      <c r="L96" s="21">
        <f t="shared" si="8"/>
        <v>0</v>
      </c>
      <c r="M96" s="22">
        <v>0</v>
      </c>
    </row>
    <row r="97" spans="1:13">
      <c r="A97" s="25" t="s">
        <v>145</v>
      </c>
      <c r="B97" s="20" t="s">
        <v>399</v>
      </c>
      <c r="C97" s="26">
        <v>29532.62</v>
      </c>
      <c r="D97" s="21">
        <f t="shared" si="6"/>
        <v>-35418.339999999997</v>
      </c>
      <c r="E97" s="26">
        <v>64950.96</v>
      </c>
      <c r="F97" s="91"/>
      <c r="G97" s="26">
        <v>0</v>
      </c>
      <c r="H97" s="21">
        <f t="shared" si="7"/>
        <v>-50000</v>
      </c>
      <c r="I97" s="26">
        <v>50000</v>
      </c>
      <c r="K97" s="26">
        <v>0</v>
      </c>
      <c r="L97" s="21">
        <f t="shared" si="8"/>
        <v>-50000</v>
      </c>
      <c r="M97" s="26">
        <v>50000</v>
      </c>
    </row>
    <row r="98" spans="1:13">
      <c r="A98" s="25" t="s">
        <v>146</v>
      </c>
      <c r="B98" s="20" t="s">
        <v>147</v>
      </c>
      <c r="C98" s="26">
        <v>0</v>
      </c>
      <c r="D98" s="21">
        <f t="shared" si="6"/>
        <v>-6567.92</v>
      </c>
      <c r="E98" s="26">
        <v>6567.92</v>
      </c>
      <c r="F98" s="91"/>
      <c r="G98" s="26">
        <v>0</v>
      </c>
      <c r="H98" s="21">
        <f t="shared" si="7"/>
        <v>-10000</v>
      </c>
      <c r="I98" s="26">
        <v>10000</v>
      </c>
      <c r="K98" s="26">
        <v>0</v>
      </c>
      <c r="L98" s="21">
        <f t="shared" si="8"/>
        <v>-10000</v>
      </c>
      <c r="M98" s="26">
        <v>10000</v>
      </c>
    </row>
    <row r="99" spans="1:13">
      <c r="A99" s="93" t="s">
        <v>400</v>
      </c>
      <c r="B99" s="54" t="s">
        <v>401</v>
      </c>
      <c r="C99" s="26">
        <v>681.22</v>
      </c>
      <c r="D99" s="21">
        <f t="shared" si="6"/>
        <v>-2301.0100000000002</v>
      </c>
      <c r="E99" s="26">
        <v>2982.23</v>
      </c>
      <c r="F99" s="91"/>
      <c r="G99" s="26">
        <v>0</v>
      </c>
      <c r="H99" s="21">
        <f t="shared" si="7"/>
        <v>-5000</v>
      </c>
      <c r="I99" s="26">
        <v>5000</v>
      </c>
      <c r="K99" s="26">
        <v>0</v>
      </c>
      <c r="L99" s="21">
        <f t="shared" si="8"/>
        <v>-5000</v>
      </c>
      <c r="M99" s="26">
        <v>5000</v>
      </c>
    </row>
    <row r="100" spans="1:13">
      <c r="A100" s="27" t="s">
        <v>148</v>
      </c>
      <c r="B100" s="16" t="s">
        <v>149</v>
      </c>
      <c r="C100" s="17">
        <f>SUM(C101)</f>
        <v>185.3</v>
      </c>
      <c r="D100" s="18">
        <f>SUM(D101)</f>
        <v>-390.33</v>
      </c>
      <c r="E100" s="17">
        <f>SUM(E101)</f>
        <v>575.63</v>
      </c>
      <c r="F100" s="64"/>
      <c r="G100" s="17">
        <f>SUM(G101)</f>
        <v>0</v>
      </c>
      <c r="H100" s="18">
        <f>SUM(H101)</f>
        <v>-2500</v>
      </c>
      <c r="I100" s="17">
        <f>SUM(I101)</f>
        <v>2500</v>
      </c>
      <c r="K100" s="17">
        <f>SUM(K101)</f>
        <v>0</v>
      </c>
      <c r="L100" s="18">
        <f>SUM(L101)</f>
        <v>-2500</v>
      </c>
      <c r="M100" s="17">
        <f>SUM(M101)</f>
        <v>2500</v>
      </c>
    </row>
    <row r="101" spans="1:13">
      <c r="A101" s="55" t="s">
        <v>150</v>
      </c>
      <c r="B101" s="56" t="s">
        <v>151</v>
      </c>
      <c r="C101" s="22">
        <v>185.3</v>
      </c>
      <c r="D101" s="21">
        <f>-E101+C101</f>
        <v>-390.33</v>
      </c>
      <c r="E101" s="26">
        <v>575.63</v>
      </c>
      <c r="F101" s="91"/>
      <c r="G101" s="22">
        <v>0</v>
      </c>
      <c r="H101" s="21">
        <f>-I101+G101</f>
        <v>-2500</v>
      </c>
      <c r="I101" s="26">
        <v>2500</v>
      </c>
      <c r="K101" s="22">
        <v>0</v>
      </c>
      <c r="L101" s="21">
        <f>-M101+K101</f>
        <v>-2500</v>
      </c>
      <c r="M101" s="26">
        <v>2500</v>
      </c>
    </row>
    <row r="102" spans="1:13" ht="21">
      <c r="A102" s="32" t="s">
        <v>152</v>
      </c>
      <c r="B102" s="33" t="s">
        <v>153</v>
      </c>
      <c r="C102" s="34">
        <f>SUM(C103,C110)</f>
        <v>5799.33</v>
      </c>
      <c r="D102" s="41">
        <f>SUM(D103,D110)</f>
        <v>-277784.48000000004</v>
      </c>
      <c r="E102" s="34">
        <f>SUM(E103,E110)</f>
        <v>283583.81000000006</v>
      </c>
      <c r="F102" s="64"/>
      <c r="G102" s="34">
        <f>SUM(G103,G110)</f>
        <v>0</v>
      </c>
      <c r="H102" s="41">
        <f>SUM(H103,H110)</f>
        <v>-353900</v>
      </c>
      <c r="I102" s="34">
        <f>SUM(I103,I110)</f>
        <v>353900</v>
      </c>
      <c r="K102" s="34">
        <f>SUM(K103,K110)</f>
        <v>0</v>
      </c>
      <c r="L102" s="41">
        <f>SUM(L103,L110)</f>
        <v>-350700</v>
      </c>
      <c r="M102" s="34">
        <f>SUM(M103,M110)</f>
        <v>350700</v>
      </c>
    </row>
    <row r="103" spans="1:13">
      <c r="A103" s="27" t="s">
        <v>154</v>
      </c>
      <c r="B103" s="16" t="s">
        <v>155</v>
      </c>
      <c r="C103" s="17">
        <f>SUM(C104:C109)</f>
        <v>790.03</v>
      </c>
      <c r="D103" s="18">
        <f>SUM(D104:D109)</f>
        <v>-205992.65000000002</v>
      </c>
      <c r="E103" s="17">
        <f>SUM(E104:E109)</f>
        <v>206782.68000000002</v>
      </c>
      <c r="F103" s="64"/>
      <c r="G103" s="17">
        <f>SUM(G104:G109)</f>
        <v>0</v>
      </c>
      <c r="H103" s="18">
        <f>SUM(H104:H109)</f>
        <v>-263900</v>
      </c>
      <c r="I103" s="17">
        <f>SUM(I104:I109)</f>
        <v>263900</v>
      </c>
      <c r="K103" s="17">
        <f>SUM(K104:K109)</f>
        <v>0</v>
      </c>
      <c r="L103" s="18">
        <f>SUM(L104:L109)</f>
        <v>-262700</v>
      </c>
      <c r="M103" s="17">
        <f>SUM(M104:M109)</f>
        <v>262700</v>
      </c>
    </row>
    <row r="104" spans="1:13">
      <c r="A104" s="25" t="s">
        <v>156</v>
      </c>
      <c r="B104" s="20" t="s">
        <v>157</v>
      </c>
      <c r="C104" s="22">
        <v>390.03</v>
      </c>
      <c r="D104" s="21">
        <f t="shared" ref="D104:D109" si="9">-E104+C104</f>
        <v>-64207.23</v>
      </c>
      <c r="E104" s="96">
        <v>64597.26</v>
      </c>
      <c r="F104" s="91"/>
      <c r="G104" s="22">
        <v>0</v>
      </c>
      <c r="H104" s="21">
        <f t="shared" ref="H104:H109" si="10">-I104+G104</f>
        <v>-90500</v>
      </c>
      <c r="I104" s="96">
        <f>28000+29000+9000+20000+2000+2500</f>
        <v>90500</v>
      </c>
      <c r="K104" s="22">
        <v>0</v>
      </c>
      <c r="L104" s="21">
        <f t="shared" ref="L104:L109" si="11">-M104+K104</f>
        <v>-84500</v>
      </c>
      <c r="M104" s="26">
        <f>27000+28000+8500+19000+2000</f>
        <v>84500</v>
      </c>
    </row>
    <row r="105" spans="1:13">
      <c r="A105" s="25" t="s">
        <v>158</v>
      </c>
      <c r="B105" s="20" t="s">
        <v>159</v>
      </c>
      <c r="C105" s="22">
        <v>400</v>
      </c>
      <c r="D105" s="21">
        <f t="shared" si="9"/>
        <v>-28432.68</v>
      </c>
      <c r="E105" s="96">
        <v>28832.68</v>
      </c>
      <c r="F105" s="91"/>
      <c r="G105" s="22">
        <v>0</v>
      </c>
      <c r="H105" s="21">
        <f t="shared" si="10"/>
        <v>-28800</v>
      </c>
      <c r="I105" s="96">
        <f>600*4*12</f>
        <v>28800</v>
      </c>
      <c r="K105" s="22">
        <v>0</v>
      </c>
      <c r="L105" s="21">
        <f t="shared" si="11"/>
        <v>-28800</v>
      </c>
      <c r="M105" s="22">
        <f>600*4*12</f>
        <v>28800</v>
      </c>
    </row>
    <row r="106" spans="1:13">
      <c r="A106" s="25" t="s">
        <v>160</v>
      </c>
      <c r="B106" s="20" t="s">
        <v>161</v>
      </c>
      <c r="C106" s="22">
        <v>0</v>
      </c>
      <c r="D106" s="21">
        <f t="shared" si="9"/>
        <v>-63257.599999999999</v>
      </c>
      <c r="E106" s="96">
        <v>63257.599999999999</v>
      </c>
      <c r="F106" s="91"/>
      <c r="G106" s="22">
        <v>0</v>
      </c>
      <c r="H106" s="21">
        <f t="shared" si="10"/>
        <v>-73000</v>
      </c>
      <c r="I106" s="96">
        <f>12400+4800+7200+29400+14400+4800</f>
        <v>73000</v>
      </c>
      <c r="K106" s="22">
        <v>0</v>
      </c>
      <c r="L106" s="21">
        <f t="shared" si="11"/>
        <v>-77800</v>
      </c>
      <c r="M106" s="26">
        <f>12400+9600+7200+29400+14400+4800</f>
        <v>77800</v>
      </c>
    </row>
    <row r="107" spans="1:13">
      <c r="A107" s="25" t="s">
        <v>162</v>
      </c>
      <c r="B107" s="20" t="s">
        <v>163</v>
      </c>
      <c r="C107" s="22">
        <v>0</v>
      </c>
      <c r="D107" s="21">
        <f t="shared" si="9"/>
        <v>-35759.94</v>
      </c>
      <c r="E107" s="22">
        <v>35759.94</v>
      </c>
      <c r="F107" s="91"/>
      <c r="G107" s="22">
        <v>0</v>
      </c>
      <c r="H107" s="21">
        <f t="shared" si="10"/>
        <v>-43200</v>
      </c>
      <c r="I107" s="22">
        <f>4800+4800+7200+4800+4800+12000+4800</f>
        <v>43200</v>
      </c>
      <c r="K107" s="22">
        <v>0</v>
      </c>
      <c r="L107" s="21">
        <f t="shared" si="11"/>
        <v>-43200</v>
      </c>
      <c r="M107" s="22">
        <f>4800+4800+7200+4800+4800+12000+4800</f>
        <v>43200</v>
      </c>
    </row>
    <row r="108" spans="1:13">
      <c r="A108" s="25" t="s">
        <v>164</v>
      </c>
      <c r="B108" s="20" t="s">
        <v>165</v>
      </c>
      <c r="C108" s="22">
        <v>0</v>
      </c>
      <c r="D108" s="21">
        <f t="shared" si="9"/>
        <v>-6125</v>
      </c>
      <c r="E108" s="26">
        <v>6125</v>
      </c>
      <c r="F108" s="91"/>
      <c r="G108" s="22">
        <v>0</v>
      </c>
      <c r="H108" s="21">
        <f t="shared" si="10"/>
        <v>-8400</v>
      </c>
      <c r="I108" s="26">
        <f>4800+1800+1800</f>
        <v>8400</v>
      </c>
      <c r="K108" s="22">
        <v>0</v>
      </c>
      <c r="L108" s="21">
        <f t="shared" si="11"/>
        <v>-8400</v>
      </c>
      <c r="M108" s="26">
        <f>4800+1800+1800</f>
        <v>8400</v>
      </c>
    </row>
    <row r="109" spans="1:13">
      <c r="A109" s="25" t="s">
        <v>166</v>
      </c>
      <c r="B109" s="20" t="s">
        <v>167</v>
      </c>
      <c r="C109" s="22">
        <v>0</v>
      </c>
      <c r="D109" s="21">
        <f t="shared" si="9"/>
        <v>-8210.2000000000007</v>
      </c>
      <c r="E109" s="26">
        <v>8210.2000000000007</v>
      </c>
      <c r="F109" s="91"/>
      <c r="G109" s="22">
        <v>0</v>
      </c>
      <c r="H109" s="21">
        <f t="shared" si="10"/>
        <v>-20000</v>
      </c>
      <c r="I109" s="26">
        <v>20000</v>
      </c>
      <c r="K109" s="22">
        <v>0</v>
      </c>
      <c r="L109" s="21">
        <f t="shared" si="11"/>
        <v>-20000</v>
      </c>
      <c r="M109" s="26">
        <v>20000</v>
      </c>
    </row>
    <row r="110" spans="1:13">
      <c r="A110" s="27" t="s">
        <v>168</v>
      </c>
      <c r="B110" s="16" t="s">
        <v>169</v>
      </c>
      <c r="C110" s="17">
        <f>SUM(C111:C112)</f>
        <v>5009.3</v>
      </c>
      <c r="D110" s="18">
        <f>SUM(D111:D112)</f>
        <v>-71791.83</v>
      </c>
      <c r="E110" s="17">
        <f>SUM(E111:E112)</f>
        <v>76801.13</v>
      </c>
      <c r="F110" s="64"/>
      <c r="G110" s="17">
        <f>SUM(G111:G112)</f>
        <v>0</v>
      </c>
      <c r="H110" s="18">
        <f>SUM(H111:H112)</f>
        <v>-90000</v>
      </c>
      <c r="I110" s="17">
        <f>SUM(I111:I112)</f>
        <v>90000</v>
      </c>
      <c r="K110" s="17">
        <f>SUM(K111:K112)</f>
        <v>0</v>
      </c>
      <c r="L110" s="18">
        <f>SUM(L111:L112)</f>
        <v>-88000</v>
      </c>
      <c r="M110" s="17">
        <f>SUM(M111:M112)</f>
        <v>88000</v>
      </c>
    </row>
    <row r="111" spans="1:13">
      <c r="A111" s="25" t="s">
        <v>170</v>
      </c>
      <c r="B111" s="20" t="s">
        <v>402</v>
      </c>
      <c r="C111" s="22">
        <v>4676.12</v>
      </c>
      <c r="D111" s="21">
        <f>-E111+C111</f>
        <v>-57775.71</v>
      </c>
      <c r="E111" s="96">
        <v>62451.83</v>
      </c>
      <c r="F111" s="91"/>
      <c r="G111" s="22">
        <v>0</v>
      </c>
      <c r="H111" s="21">
        <f>-I111+G111</f>
        <v>-72000</v>
      </c>
      <c r="I111" s="96">
        <v>72000</v>
      </c>
      <c r="K111" s="22">
        <v>0</v>
      </c>
      <c r="L111" s="21">
        <f>-M111+K111</f>
        <v>-70000</v>
      </c>
      <c r="M111" s="26">
        <v>70000</v>
      </c>
    </row>
    <row r="112" spans="1:13">
      <c r="A112" s="25" t="s">
        <v>171</v>
      </c>
      <c r="B112" s="20" t="s">
        <v>403</v>
      </c>
      <c r="C112" s="26">
        <v>333.18</v>
      </c>
      <c r="D112" s="21">
        <f>-E112+C112</f>
        <v>-14016.119999999999</v>
      </c>
      <c r="E112" s="26">
        <v>14349.3</v>
      </c>
      <c r="F112" s="91"/>
      <c r="G112" s="26">
        <v>0</v>
      </c>
      <c r="H112" s="21">
        <f>-I112+G112</f>
        <v>-18000</v>
      </c>
      <c r="I112" s="26">
        <v>18000</v>
      </c>
      <c r="K112" s="26">
        <v>0</v>
      </c>
      <c r="L112" s="21">
        <f>-M112+K112</f>
        <v>-18000</v>
      </c>
      <c r="M112" s="26">
        <v>18000</v>
      </c>
    </row>
    <row r="113" spans="1:13" ht="21">
      <c r="A113" s="32" t="s">
        <v>172</v>
      </c>
      <c r="B113" s="33" t="s">
        <v>173</v>
      </c>
      <c r="C113" s="14">
        <f>SUM(C114,C118,C120,C124,C129,C132,C135,C141,C144)</f>
        <v>1586.9499999999998</v>
      </c>
      <c r="D113" s="41">
        <f>SUM(D114,D118,D120,D124,D129,D132,D135,D141,D144)</f>
        <v>-95227.56</v>
      </c>
      <c r="E113" s="14">
        <f>SUM(E114,E118,E120,E124,E129,E132,E135,E141,E144)</f>
        <v>96814.510000000009</v>
      </c>
      <c r="F113" s="64"/>
      <c r="G113" s="14">
        <f>SUM(G114,G118,G120,G124,G129,G132,G135,G141,G144)</f>
        <v>0</v>
      </c>
      <c r="H113" s="41">
        <f>SUM(H114,H118,H120,H124,H129,H132,H135,H141,H144)</f>
        <v>-276000</v>
      </c>
      <c r="I113" s="14">
        <f>SUM(I114,I118,I120,I124,I129,I132,I135,I141,I144)</f>
        <v>276000</v>
      </c>
      <c r="K113" s="14">
        <f>SUM(K114,K118,K120,K124,K129,K132,K135,K141,K144)</f>
        <v>0</v>
      </c>
      <c r="L113" s="41">
        <f>SUM(L114,L118,L120,L124,L129,L132,L135,L141,L144)</f>
        <v>-276500</v>
      </c>
      <c r="M113" s="14">
        <f>SUM(M114,M118,M120,M124,M129,M132,M135,M141,M144)</f>
        <v>276500</v>
      </c>
    </row>
    <row r="114" spans="1:13">
      <c r="A114" s="27" t="s">
        <v>174</v>
      </c>
      <c r="B114" s="16" t="s">
        <v>175</v>
      </c>
      <c r="C114" s="43">
        <f>SUM(C115:C117)</f>
        <v>139</v>
      </c>
      <c r="D114" s="18">
        <f>SUM(D115:D117)</f>
        <v>-14746.41</v>
      </c>
      <c r="E114" s="43">
        <f>SUM(E115:E117)</f>
        <v>14885.41</v>
      </c>
      <c r="F114" s="64"/>
      <c r="G114" s="43">
        <f>SUM(G115:G117)</f>
        <v>0</v>
      </c>
      <c r="H114" s="18">
        <f>SUM(H115:H117)</f>
        <v>-21500</v>
      </c>
      <c r="I114" s="43">
        <f>SUM(I115:I117)</f>
        <v>21500</v>
      </c>
      <c r="K114" s="43">
        <f>SUM(K115:K117)</f>
        <v>0</v>
      </c>
      <c r="L114" s="18">
        <f>SUM(L115:L117)</f>
        <v>-25000</v>
      </c>
      <c r="M114" s="43">
        <f>SUM(M115:M117)</f>
        <v>25000</v>
      </c>
    </row>
    <row r="115" spans="1:13">
      <c r="A115" s="25" t="s">
        <v>176</v>
      </c>
      <c r="B115" s="20" t="s">
        <v>177</v>
      </c>
      <c r="C115" s="22">
        <v>0</v>
      </c>
      <c r="D115" s="21">
        <f>-E115+C115</f>
        <v>-2948.39</v>
      </c>
      <c r="E115" s="96">
        <v>2948.39</v>
      </c>
      <c r="F115" s="91"/>
      <c r="G115" s="22">
        <v>0</v>
      </c>
      <c r="H115" s="21">
        <f>-I115+G115</f>
        <v>-5000</v>
      </c>
      <c r="I115" s="96">
        <v>5000</v>
      </c>
      <c r="K115" s="22">
        <v>0</v>
      </c>
      <c r="L115" s="21">
        <f>-M115+K115</f>
        <v>-7500</v>
      </c>
      <c r="M115" s="26">
        <v>7500</v>
      </c>
    </row>
    <row r="116" spans="1:13">
      <c r="A116" s="25" t="s">
        <v>178</v>
      </c>
      <c r="B116" s="20" t="s">
        <v>179</v>
      </c>
      <c r="C116" s="26">
        <v>0</v>
      </c>
      <c r="D116" s="21">
        <f>-E116+C116</f>
        <v>-6237.91</v>
      </c>
      <c r="E116" s="96">
        <v>6237.91</v>
      </c>
      <c r="F116" s="91"/>
      <c r="G116" s="26">
        <v>0</v>
      </c>
      <c r="H116" s="21">
        <f>-I116+G116</f>
        <v>-9000</v>
      </c>
      <c r="I116" s="96">
        <v>9000</v>
      </c>
      <c r="K116" s="26">
        <v>0</v>
      </c>
      <c r="L116" s="21">
        <f>-M116+K116</f>
        <v>-10000</v>
      </c>
      <c r="M116" s="26">
        <v>10000</v>
      </c>
    </row>
    <row r="117" spans="1:13">
      <c r="A117" s="25" t="s">
        <v>180</v>
      </c>
      <c r="B117" s="20" t="s">
        <v>181</v>
      </c>
      <c r="C117" s="22">
        <v>139</v>
      </c>
      <c r="D117" s="21">
        <f>-E117+C117</f>
        <v>-5560.11</v>
      </c>
      <c r="E117" s="26">
        <v>5699.11</v>
      </c>
      <c r="F117" s="91"/>
      <c r="G117" s="22">
        <v>0</v>
      </c>
      <c r="H117" s="21">
        <f>-I117+G117</f>
        <v>-7500</v>
      </c>
      <c r="I117" s="26">
        <v>7500</v>
      </c>
      <c r="K117" s="22">
        <v>0</v>
      </c>
      <c r="L117" s="21">
        <f>-M117+K117</f>
        <v>-7500</v>
      </c>
      <c r="M117" s="26">
        <v>7500</v>
      </c>
    </row>
    <row r="118" spans="1:13">
      <c r="A118" s="27" t="s">
        <v>182</v>
      </c>
      <c r="B118" s="16" t="s">
        <v>183</v>
      </c>
      <c r="C118" s="43">
        <f>SUM(C119:C119)</f>
        <v>0</v>
      </c>
      <c r="D118" s="18">
        <f>SUM(D119)</f>
        <v>-342.66</v>
      </c>
      <c r="E118" s="43">
        <f>SUM(E119:E119)</f>
        <v>342.66</v>
      </c>
      <c r="F118" s="64"/>
      <c r="G118" s="43">
        <f>SUM(G119:G119)</f>
        <v>0</v>
      </c>
      <c r="H118" s="18">
        <f>SUM(H119)</f>
        <v>-2000</v>
      </c>
      <c r="I118" s="43">
        <f>SUM(I119:I119)</f>
        <v>2000</v>
      </c>
      <c r="K118" s="43">
        <f>SUM(K119:K119)</f>
        <v>0</v>
      </c>
      <c r="L118" s="18">
        <f>SUM(L119)</f>
        <v>-2000</v>
      </c>
      <c r="M118" s="43">
        <f>SUM(M119:M119)</f>
        <v>2000</v>
      </c>
    </row>
    <row r="119" spans="1:13">
      <c r="A119" s="25" t="s">
        <v>184</v>
      </c>
      <c r="B119" s="20" t="s">
        <v>183</v>
      </c>
      <c r="C119" s="22">
        <v>0</v>
      </c>
      <c r="D119" s="21">
        <f>-E119+C119</f>
        <v>-342.66</v>
      </c>
      <c r="E119" s="26">
        <v>342.66</v>
      </c>
      <c r="F119" s="91"/>
      <c r="G119" s="22">
        <v>0</v>
      </c>
      <c r="H119" s="21">
        <f>-I119+G119</f>
        <v>-2000</v>
      </c>
      <c r="I119" s="26">
        <v>2000</v>
      </c>
      <c r="K119" s="22">
        <v>0</v>
      </c>
      <c r="L119" s="21">
        <f>-M119+K119</f>
        <v>-2000</v>
      </c>
      <c r="M119" s="26">
        <v>2000</v>
      </c>
    </row>
    <row r="120" spans="1:13">
      <c r="A120" s="27" t="s">
        <v>185</v>
      </c>
      <c r="B120" s="16" t="s">
        <v>186</v>
      </c>
      <c r="C120" s="43">
        <f>SUM(C121:C123)</f>
        <v>12.6</v>
      </c>
      <c r="D120" s="18">
        <f>SUM(D121:D123)</f>
        <v>-14836.699999999999</v>
      </c>
      <c r="E120" s="43">
        <f>SUM(E121:E123)</f>
        <v>14849.3</v>
      </c>
      <c r="F120" s="64"/>
      <c r="G120" s="43">
        <f>SUM(G121:G123)</f>
        <v>0</v>
      </c>
      <c r="H120" s="18">
        <f>SUM(H121:H123)</f>
        <v>-21000</v>
      </c>
      <c r="I120" s="43">
        <f>SUM(I121:I123)</f>
        <v>21000</v>
      </c>
      <c r="K120" s="43">
        <f>SUM(K121:K123)</f>
        <v>0</v>
      </c>
      <c r="L120" s="18">
        <f>SUM(L121:L123)</f>
        <v>-21000</v>
      </c>
      <c r="M120" s="43">
        <f>SUM(M121:M123)</f>
        <v>21000</v>
      </c>
    </row>
    <row r="121" spans="1:13">
      <c r="A121" s="25" t="s">
        <v>187</v>
      </c>
      <c r="B121" s="20" t="s">
        <v>188</v>
      </c>
      <c r="C121" s="22">
        <v>0</v>
      </c>
      <c r="D121" s="21">
        <f>-E121+C121</f>
        <v>0</v>
      </c>
      <c r="E121" s="26">
        <v>0</v>
      </c>
      <c r="F121" s="91"/>
      <c r="G121" s="22">
        <v>0</v>
      </c>
      <c r="H121" s="21">
        <f>-I121+G121</f>
        <v>-100</v>
      </c>
      <c r="I121" s="26">
        <v>100</v>
      </c>
      <c r="K121" s="22">
        <v>0</v>
      </c>
      <c r="L121" s="21">
        <f>-M121+K121</f>
        <v>-100</v>
      </c>
      <c r="M121" s="26">
        <v>100</v>
      </c>
    </row>
    <row r="122" spans="1:13">
      <c r="A122" s="25" t="s">
        <v>189</v>
      </c>
      <c r="B122" s="20" t="s">
        <v>190</v>
      </c>
      <c r="C122" s="22">
        <v>12.6</v>
      </c>
      <c r="D122" s="21">
        <f>-E122+C122</f>
        <v>-563.79999999999995</v>
      </c>
      <c r="E122" s="26">
        <v>576.4</v>
      </c>
      <c r="F122" s="91"/>
      <c r="G122" s="22">
        <v>0</v>
      </c>
      <c r="H122" s="21">
        <f>-I122+G122</f>
        <v>-900</v>
      </c>
      <c r="I122" s="26">
        <v>900</v>
      </c>
      <c r="K122" s="22">
        <v>0</v>
      </c>
      <c r="L122" s="21">
        <f>-M122+K122</f>
        <v>-900</v>
      </c>
      <c r="M122" s="26">
        <v>900</v>
      </c>
    </row>
    <row r="123" spans="1:13">
      <c r="A123" s="93" t="s">
        <v>411</v>
      </c>
      <c r="B123" s="54" t="s">
        <v>412</v>
      </c>
      <c r="C123" s="22">
        <v>0</v>
      </c>
      <c r="D123" s="21">
        <f>-E123+C123</f>
        <v>-14272.9</v>
      </c>
      <c r="E123" s="26">
        <v>14272.9</v>
      </c>
      <c r="F123" s="91"/>
      <c r="G123" s="22">
        <v>0</v>
      </c>
      <c r="H123" s="21">
        <f>-I123+G123</f>
        <v>-20000</v>
      </c>
      <c r="I123" s="26">
        <f>6000+4000+10000</f>
        <v>20000</v>
      </c>
      <c r="K123" s="22">
        <v>0</v>
      </c>
      <c r="L123" s="21">
        <f>-M123+K123</f>
        <v>-20000</v>
      </c>
      <c r="M123" s="26">
        <f>6000+4000+10000</f>
        <v>20000</v>
      </c>
    </row>
    <row r="124" spans="1:13">
      <c r="A124" s="27" t="s">
        <v>191</v>
      </c>
      <c r="B124" s="16" t="s">
        <v>192</v>
      </c>
      <c r="C124" s="43">
        <f>SUM(C125:C128)</f>
        <v>1405.35</v>
      </c>
      <c r="D124" s="18">
        <f>SUM(D125:D128)</f>
        <v>-5000.08</v>
      </c>
      <c r="E124" s="43">
        <f>SUM(E125:E128)</f>
        <v>6405.43</v>
      </c>
      <c r="F124" s="64"/>
      <c r="G124" s="43">
        <f>SUM(G125:G128)</f>
        <v>0</v>
      </c>
      <c r="H124" s="18">
        <f>SUM(H125:H128)</f>
        <v>-57500</v>
      </c>
      <c r="I124" s="43">
        <f>SUM(I125:I128)</f>
        <v>57500</v>
      </c>
      <c r="K124" s="43">
        <f>SUM(K125:K128)</f>
        <v>0</v>
      </c>
      <c r="L124" s="18">
        <f>SUM(L125:L128)</f>
        <v>-57500</v>
      </c>
      <c r="M124" s="43">
        <f>SUM(M125:M128)</f>
        <v>57500</v>
      </c>
    </row>
    <row r="125" spans="1:13">
      <c r="A125" s="25" t="s">
        <v>193</v>
      </c>
      <c r="B125" s="20" t="s">
        <v>194</v>
      </c>
      <c r="C125" s="22">
        <v>0</v>
      </c>
      <c r="D125" s="21">
        <f>-E125+C125</f>
        <v>-1246.0999999999999</v>
      </c>
      <c r="E125" s="26">
        <v>1246.0999999999999</v>
      </c>
      <c r="F125" s="91"/>
      <c r="G125" s="22">
        <v>0</v>
      </c>
      <c r="H125" s="21">
        <f>-I125+G125</f>
        <v>-7500</v>
      </c>
      <c r="I125" s="26">
        <v>7500</v>
      </c>
      <c r="K125" s="22">
        <v>0</v>
      </c>
      <c r="L125" s="21">
        <f>-M125+K125</f>
        <v>-7500</v>
      </c>
      <c r="M125" s="26">
        <v>7500</v>
      </c>
    </row>
    <row r="126" spans="1:13">
      <c r="A126" s="25" t="s">
        <v>195</v>
      </c>
      <c r="B126" s="20" t="s">
        <v>196</v>
      </c>
      <c r="C126" s="22">
        <v>0</v>
      </c>
      <c r="D126" s="21">
        <f>-E126+C126</f>
        <v>-1262.79</v>
      </c>
      <c r="E126" s="26">
        <v>1262.79</v>
      </c>
      <c r="F126" s="91"/>
      <c r="G126" s="22">
        <v>0</v>
      </c>
      <c r="H126" s="21">
        <f>-I126+G126</f>
        <v>-10000</v>
      </c>
      <c r="I126" s="26">
        <v>10000</v>
      </c>
      <c r="K126" s="22">
        <v>0</v>
      </c>
      <c r="L126" s="21">
        <f>-M126+K126</f>
        <v>-10000</v>
      </c>
      <c r="M126" s="26">
        <v>10000</v>
      </c>
    </row>
    <row r="127" spans="1:13">
      <c r="A127" s="25" t="s">
        <v>197</v>
      </c>
      <c r="B127" s="20" t="s">
        <v>198</v>
      </c>
      <c r="C127" s="22">
        <v>0</v>
      </c>
      <c r="D127" s="21">
        <f>-E127+C127</f>
        <v>-1102.93</v>
      </c>
      <c r="E127" s="26">
        <v>1102.93</v>
      </c>
      <c r="F127" s="91"/>
      <c r="G127" s="22">
        <v>0</v>
      </c>
      <c r="H127" s="21">
        <f>-I127+G127</f>
        <v>-30000</v>
      </c>
      <c r="I127" s="26">
        <v>30000</v>
      </c>
      <c r="K127" s="22">
        <v>0</v>
      </c>
      <c r="L127" s="21">
        <f>-M127+K127</f>
        <v>-30000</v>
      </c>
      <c r="M127" s="26">
        <v>30000</v>
      </c>
    </row>
    <row r="128" spans="1:13">
      <c r="A128" s="25" t="s">
        <v>199</v>
      </c>
      <c r="B128" s="20" t="s">
        <v>200</v>
      </c>
      <c r="C128" s="22">
        <v>1405.35</v>
      </c>
      <c r="D128" s="21">
        <f>-E128+C128</f>
        <v>-1388.2600000000002</v>
      </c>
      <c r="E128" s="26">
        <v>2793.61</v>
      </c>
      <c r="F128" s="91"/>
      <c r="G128" s="22">
        <v>0</v>
      </c>
      <c r="H128" s="21">
        <f>-I128+G128</f>
        <v>-10000</v>
      </c>
      <c r="I128" s="26">
        <v>10000</v>
      </c>
      <c r="K128" s="22">
        <v>0</v>
      </c>
      <c r="L128" s="21">
        <f>-M128+K128</f>
        <v>-10000</v>
      </c>
      <c r="M128" s="26">
        <v>10000</v>
      </c>
    </row>
    <row r="129" spans="1:13">
      <c r="A129" s="27" t="s">
        <v>201</v>
      </c>
      <c r="B129" s="16" t="s">
        <v>202</v>
      </c>
      <c r="C129" s="43">
        <f>SUM(C130:C131)</f>
        <v>30</v>
      </c>
      <c r="D129" s="18">
        <f>SUM(D130:D131)</f>
        <v>-1161.1600000000001</v>
      </c>
      <c r="E129" s="43">
        <f>SUM(E130:E131)</f>
        <v>1191.1600000000001</v>
      </c>
      <c r="F129" s="64"/>
      <c r="G129" s="43">
        <f>SUM(G130:G131)</f>
        <v>0</v>
      </c>
      <c r="H129" s="18">
        <f>SUM(H130:H131)</f>
        <v>-8500</v>
      </c>
      <c r="I129" s="43">
        <f>SUM(I130:I131)</f>
        <v>8500</v>
      </c>
      <c r="K129" s="43">
        <f>SUM(K130:K131)</f>
        <v>0</v>
      </c>
      <c r="L129" s="18">
        <f>SUM(L130:L131)</f>
        <v>-8500</v>
      </c>
      <c r="M129" s="43">
        <f>SUM(M130:M131)</f>
        <v>8500</v>
      </c>
    </row>
    <row r="130" spans="1:13">
      <c r="A130" s="25" t="s">
        <v>203</v>
      </c>
      <c r="B130" s="20" t="s">
        <v>202</v>
      </c>
      <c r="C130" s="22">
        <v>30</v>
      </c>
      <c r="D130" s="21">
        <f>-E130+C130</f>
        <v>-936.01</v>
      </c>
      <c r="E130" s="26">
        <v>966.01</v>
      </c>
      <c r="F130" s="91"/>
      <c r="G130" s="22">
        <v>0</v>
      </c>
      <c r="H130" s="21">
        <f>-I130+G130</f>
        <v>-7500</v>
      </c>
      <c r="I130" s="26">
        <v>7500</v>
      </c>
      <c r="K130" s="22">
        <v>0</v>
      </c>
      <c r="L130" s="21">
        <f>-M130+K130</f>
        <v>-7500</v>
      </c>
      <c r="M130" s="26">
        <v>7500</v>
      </c>
    </row>
    <row r="131" spans="1:13">
      <c r="A131" s="25" t="s">
        <v>204</v>
      </c>
      <c r="B131" s="20" t="s">
        <v>205</v>
      </c>
      <c r="C131" s="22">
        <v>0</v>
      </c>
      <c r="D131" s="21">
        <f>-E131+C131</f>
        <v>-225.15</v>
      </c>
      <c r="E131" s="26">
        <v>225.15</v>
      </c>
      <c r="F131" s="91"/>
      <c r="G131" s="22">
        <v>0</v>
      </c>
      <c r="H131" s="21">
        <f>-I131+G131</f>
        <v>-1000</v>
      </c>
      <c r="I131" s="26">
        <v>1000</v>
      </c>
      <c r="K131" s="22">
        <v>0</v>
      </c>
      <c r="L131" s="21">
        <f>-M131+K131</f>
        <v>-1000</v>
      </c>
      <c r="M131" s="26">
        <v>1000</v>
      </c>
    </row>
    <row r="132" spans="1:13">
      <c r="A132" s="27" t="s">
        <v>206</v>
      </c>
      <c r="B132" s="16" t="s">
        <v>207</v>
      </c>
      <c r="C132" s="43">
        <f>SUM(C133:C134)</f>
        <v>0</v>
      </c>
      <c r="D132" s="18">
        <f>SUM(D133:D134)</f>
        <v>-27675.01</v>
      </c>
      <c r="E132" s="43">
        <f>SUM(E133:E134)</f>
        <v>27675.01</v>
      </c>
      <c r="F132" s="64"/>
      <c r="G132" s="43">
        <f>SUM(G133:G134)</f>
        <v>0</v>
      </c>
      <c r="H132" s="18">
        <f>SUM(H133:H134)</f>
        <v>-80000</v>
      </c>
      <c r="I132" s="43">
        <f>SUM(I133:I134)</f>
        <v>80000</v>
      </c>
      <c r="K132" s="43">
        <f>SUM(K133:K134)</f>
        <v>0</v>
      </c>
      <c r="L132" s="18">
        <f>SUM(L133:L134)</f>
        <v>-80000</v>
      </c>
      <c r="M132" s="43">
        <f>SUM(M133:M134)</f>
        <v>80000</v>
      </c>
    </row>
    <row r="133" spans="1:13">
      <c r="A133" s="25" t="s">
        <v>208</v>
      </c>
      <c r="B133" s="20" t="s">
        <v>209</v>
      </c>
      <c r="C133" s="22">
        <v>0</v>
      </c>
      <c r="D133" s="21">
        <f>-E133+C133</f>
        <v>0</v>
      </c>
      <c r="E133" s="26">
        <v>0</v>
      </c>
      <c r="F133" s="91"/>
      <c r="G133" s="22">
        <v>0</v>
      </c>
      <c r="H133" s="21">
        <f>-I133+G133</f>
        <v>-10000</v>
      </c>
      <c r="I133" s="26">
        <v>10000</v>
      </c>
      <c r="K133" s="22">
        <v>0</v>
      </c>
      <c r="L133" s="21">
        <f>-M133+K133</f>
        <v>-10000</v>
      </c>
      <c r="M133" s="26">
        <v>10000</v>
      </c>
    </row>
    <row r="134" spans="1:13">
      <c r="A134" s="25" t="s">
        <v>210</v>
      </c>
      <c r="B134" s="20" t="s">
        <v>211</v>
      </c>
      <c r="C134" s="22">
        <v>0</v>
      </c>
      <c r="D134" s="21">
        <f>-E134+C134</f>
        <v>-27675.01</v>
      </c>
      <c r="E134" s="26">
        <v>27675.01</v>
      </c>
      <c r="F134" s="91"/>
      <c r="G134" s="22">
        <v>0</v>
      </c>
      <c r="H134" s="21">
        <f>-I134+G134</f>
        <v>-70000</v>
      </c>
      <c r="I134" s="26">
        <v>70000</v>
      </c>
      <c r="K134" s="22">
        <v>0</v>
      </c>
      <c r="L134" s="21">
        <f>-M134+K134</f>
        <v>-70000</v>
      </c>
      <c r="M134" s="26">
        <v>70000</v>
      </c>
    </row>
    <row r="135" spans="1:13">
      <c r="A135" s="27" t="s">
        <v>212</v>
      </c>
      <c r="B135" s="16" t="s">
        <v>213</v>
      </c>
      <c r="C135" s="43">
        <f>SUM(C136:C140)</f>
        <v>0</v>
      </c>
      <c r="D135" s="18">
        <f>SUM(D136:D140)</f>
        <v>-26821.659999999996</v>
      </c>
      <c r="E135" s="43">
        <f>SUM(E136:E140)</f>
        <v>26821.659999999996</v>
      </c>
      <c r="F135" s="64"/>
      <c r="G135" s="43">
        <f>SUM(G136:G140)</f>
        <v>0</v>
      </c>
      <c r="H135" s="18">
        <f>SUM(H136:H140)</f>
        <v>-48000</v>
      </c>
      <c r="I135" s="43">
        <f>SUM(I136:I140)</f>
        <v>48000</v>
      </c>
      <c r="K135" s="43">
        <f>SUM(K136:K140)</f>
        <v>0</v>
      </c>
      <c r="L135" s="18">
        <f>SUM(L136:L140)</f>
        <v>-50000</v>
      </c>
      <c r="M135" s="43">
        <f>SUM(M136:M140)</f>
        <v>50000</v>
      </c>
    </row>
    <row r="136" spans="1:13">
      <c r="A136" s="25" t="s">
        <v>214</v>
      </c>
      <c r="B136" s="20" t="s">
        <v>215</v>
      </c>
      <c r="C136" s="22">
        <v>0</v>
      </c>
      <c r="D136" s="21">
        <f>-E136+C136</f>
        <v>-12532.21</v>
      </c>
      <c r="E136" s="26">
        <v>12532.21</v>
      </c>
      <c r="F136" s="91"/>
      <c r="G136" s="22">
        <v>0</v>
      </c>
      <c r="H136" s="21">
        <f>-I136+G136</f>
        <v>-20000</v>
      </c>
      <c r="I136" s="26">
        <v>20000</v>
      </c>
      <c r="K136" s="22">
        <v>0</v>
      </c>
      <c r="L136" s="21">
        <f>-M136+K136</f>
        <v>-20000</v>
      </c>
      <c r="M136" s="26">
        <v>20000</v>
      </c>
    </row>
    <row r="137" spans="1:13">
      <c r="A137" s="25" t="s">
        <v>216</v>
      </c>
      <c r="B137" s="20" t="s">
        <v>132</v>
      </c>
      <c r="C137" s="22">
        <v>0</v>
      </c>
      <c r="D137" s="21">
        <f>-E137+C137</f>
        <v>-939.65</v>
      </c>
      <c r="E137" s="26">
        <v>939.65</v>
      </c>
      <c r="F137" s="91"/>
      <c r="G137" s="22">
        <v>0</v>
      </c>
      <c r="H137" s="21">
        <f>-I137+G137</f>
        <v>-5000</v>
      </c>
      <c r="I137" s="26">
        <v>5000</v>
      </c>
      <c r="K137" s="22">
        <v>0</v>
      </c>
      <c r="L137" s="21">
        <f>-M137+K137</f>
        <v>-5000</v>
      </c>
      <c r="M137" s="26">
        <v>5000</v>
      </c>
    </row>
    <row r="138" spans="1:13">
      <c r="A138" s="25" t="s">
        <v>217</v>
      </c>
      <c r="B138" s="20" t="s">
        <v>218</v>
      </c>
      <c r="C138" s="22">
        <v>0</v>
      </c>
      <c r="D138" s="21">
        <f>-E138+C138</f>
        <v>-5870.83</v>
      </c>
      <c r="E138" s="96">
        <v>5870.83</v>
      </c>
      <c r="F138" s="91"/>
      <c r="G138" s="22">
        <v>0</v>
      </c>
      <c r="H138" s="21">
        <f>-I138+G138</f>
        <v>-8000</v>
      </c>
      <c r="I138" s="96">
        <v>8000</v>
      </c>
      <c r="K138" s="22">
        <v>0</v>
      </c>
      <c r="L138" s="21">
        <f>-M138+K138</f>
        <v>-10000</v>
      </c>
      <c r="M138" s="26">
        <v>10000</v>
      </c>
    </row>
    <row r="139" spans="1:13">
      <c r="A139" s="25" t="s">
        <v>219</v>
      </c>
      <c r="B139" s="20" t="s">
        <v>220</v>
      </c>
      <c r="C139" s="22">
        <v>0</v>
      </c>
      <c r="D139" s="21">
        <f>-E139+C139</f>
        <v>-633.46</v>
      </c>
      <c r="E139" s="26">
        <v>633.46</v>
      </c>
      <c r="F139" s="91"/>
      <c r="G139" s="22">
        <v>0</v>
      </c>
      <c r="H139" s="21">
        <f>-I139+G139</f>
        <v>-5000</v>
      </c>
      <c r="I139" s="26">
        <v>5000</v>
      </c>
      <c r="K139" s="22">
        <v>0</v>
      </c>
      <c r="L139" s="21">
        <f>-M139+K139</f>
        <v>-5000</v>
      </c>
      <c r="M139" s="26">
        <v>5000</v>
      </c>
    </row>
    <row r="140" spans="1:13">
      <c r="A140" s="25" t="s">
        <v>418</v>
      </c>
      <c r="B140" s="20" t="s">
        <v>419</v>
      </c>
      <c r="C140" s="22">
        <v>0</v>
      </c>
      <c r="D140" s="21">
        <f>-E140+C140</f>
        <v>-6845.51</v>
      </c>
      <c r="E140" s="26">
        <v>6845.51</v>
      </c>
      <c r="F140" s="91"/>
      <c r="G140" s="22">
        <v>0</v>
      </c>
      <c r="H140" s="21">
        <f>-I140+G140</f>
        <v>-10000</v>
      </c>
      <c r="I140" s="26">
        <v>10000</v>
      </c>
      <c r="K140" s="22">
        <v>0</v>
      </c>
      <c r="L140" s="21">
        <f>-M140+K140</f>
        <v>-10000</v>
      </c>
      <c r="M140" s="26">
        <v>10000</v>
      </c>
    </row>
    <row r="141" spans="1:13">
      <c r="A141" s="27" t="s">
        <v>221</v>
      </c>
      <c r="B141" s="16" t="s">
        <v>404</v>
      </c>
      <c r="C141" s="43">
        <f>SUM(C142:C143)</f>
        <v>0</v>
      </c>
      <c r="D141" s="18">
        <f>SUM(D142:D143)</f>
        <v>-4643.88</v>
      </c>
      <c r="E141" s="43">
        <f>SUM(E142:E143)</f>
        <v>4643.88</v>
      </c>
      <c r="F141" s="64"/>
      <c r="G141" s="43">
        <f>SUM(G142:G143)</f>
        <v>0</v>
      </c>
      <c r="H141" s="18">
        <f>SUM(H142:H143)</f>
        <v>-22500</v>
      </c>
      <c r="I141" s="43">
        <f>SUM(I142:I143)</f>
        <v>22500</v>
      </c>
      <c r="K141" s="43">
        <f>SUM(K142:K143)</f>
        <v>0</v>
      </c>
      <c r="L141" s="18">
        <f>SUM(L142:L143)</f>
        <v>-17500</v>
      </c>
      <c r="M141" s="43">
        <f>SUM(M142:M143)</f>
        <v>17500</v>
      </c>
    </row>
    <row r="142" spans="1:13">
      <c r="A142" s="25" t="s">
        <v>222</v>
      </c>
      <c r="B142" s="20" t="s">
        <v>223</v>
      </c>
      <c r="C142" s="22">
        <v>0</v>
      </c>
      <c r="D142" s="21">
        <f>-E142+C142</f>
        <v>-2164.11</v>
      </c>
      <c r="E142" s="26">
        <v>2164.11</v>
      </c>
      <c r="F142" s="91"/>
      <c r="G142" s="22">
        <v>0</v>
      </c>
      <c r="H142" s="21">
        <f>-I142+G142</f>
        <v>-7500</v>
      </c>
      <c r="I142" s="26">
        <v>7500</v>
      </c>
      <c r="K142" s="22">
        <v>0</v>
      </c>
      <c r="L142" s="21">
        <f>-M142+K142</f>
        <v>-7500</v>
      </c>
      <c r="M142" s="26">
        <v>7500</v>
      </c>
    </row>
    <row r="143" spans="1:13">
      <c r="A143" s="25" t="s">
        <v>224</v>
      </c>
      <c r="B143" s="20" t="s">
        <v>225</v>
      </c>
      <c r="C143" s="22">
        <v>0</v>
      </c>
      <c r="D143" s="21">
        <f>-E143+C143</f>
        <v>-2479.77</v>
      </c>
      <c r="E143" s="96">
        <v>2479.77</v>
      </c>
      <c r="F143" s="91"/>
      <c r="G143" s="22">
        <v>0</v>
      </c>
      <c r="H143" s="21">
        <f>-I143+G143</f>
        <v>-15000</v>
      </c>
      <c r="I143" s="96">
        <v>15000</v>
      </c>
      <c r="K143" s="22">
        <v>0</v>
      </c>
      <c r="L143" s="21">
        <f>-M143+K143</f>
        <v>-10000</v>
      </c>
      <c r="M143" s="26">
        <v>10000</v>
      </c>
    </row>
    <row r="144" spans="1:13">
      <c r="A144" s="27" t="s">
        <v>226</v>
      </c>
      <c r="B144" s="16" t="s">
        <v>227</v>
      </c>
      <c r="C144" s="43">
        <f>SUM(C145:C146)</f>
        <v>0</v>
      </c>
      <c r="D144" s="18">
        <f>SUM(D145:D146)</f>
        <v>0</v>
      </c>
      <c r="E144" s="43">
        <f>SUM(E145:E146)</f>
        <v>0</v>
      </c>
      <c r="F144" s="64"/>
      <c r="G144" s="43">
        <f>SUM(G145:G146)</f>
        <v>0</v>
      </c>
      <c r="H144" s="18">
        <f>SUM(H145:H146)</f>
        <v>-15000</v>
      </c>
      <c r="I144" s="43">
        <f>SUM(I145:I146)</f>
        <v>15000</v>
      </c>
      <c r="K144" s="43">
        <f>SUM(K145:K146)</f>
        <v>0</v>
      </c>
      <c r="L144" s="18">
        <f>SUM(L145:L146)</f>
        <v>-15000</v>
      </c>
      <c r="M144" s="43">
        <f>SUM(M145:M146)</f>
        <v>15000</v>
      </c>
    </row>
    <row r="145" spans="1:13">
      <c r="A145" s="25" t="s">
        <v>228</v>
      </c>
      <c r="B145" s="20" t="s">
        <v>229</v>
      </c>
      <c r="C145" s="22">
        <v>0</v>
      </c>
      <c r="D145" s="21">
        <f>-E145+C145</f>
        <v>0</v>
      </c>
      <c r="E145" s="26">
        <v>0</v>
      </c>
      <c r="F145" s="91"/>
      <c r="G145" s="22">
        <v>0</v>
      </c>
      <c r="H145" s="21">
        <f>-I145+G145</f>
        <v>-10000</v>
      </c>
      <c r="I145" s="26">
        <v>10000</v>
      </c>
      <c r="K145" s="22">
        <v>0</v>
      </c>
      <c r="L145" s="21">
        <f>-M145+K145</f>
        <v>-10000</v>
      </c>
      <c r="M145" s="26">
        <v>10000</v>
      </c>
    </row>
    <row r="146" spans="1:13">
      <c r="A146" s="25" t="s">
        <v>230</v>
      </c>
      <c r="B146" s="20" t="s">
        <v>231</v>
      </c>
      <c r="C146" s="22">
        <v>0</v>
      </c>
      <c r="D146" s="21">
        <f>-E146+C146</f>
        <v>0</v>
      </c>
      <c r="E146" s="26">
        <v>0</v>
      </c>
      <c r="F146" s="91"/>
      <c r="G146" s="22">
        <v>0</v>
      </c>
      <c r="H146" s="21">
        <f>-I146+G146</f>
        <v>-5000</v>
      </c>
      <c r="I146" s="26">
        <v>5000</v>
      </c>
      <c r="K146" s="22">
        <v>0</v>
      </c>
      <c r="L146" s="21">
        <f>-M146+K146</f>
        <v>-5000</v>
      </c>
      <c r="M146" s="26">
        <v>5000</v>
      </c>
    </row>
    <row r="147" spans="1:13" ht="21">
      <c r="A147" s="32" t="s">
        <v>232</v>
      </c>
      <c r="B147" s="33" t="s">
        <v>233</v>
      </c>
      <c r="C147" s="34">
        <f>SUM(C148,C181,C189)</f>
        <v>306850.87</v>
      </c>
      <c r="D147" s="41">
        <f>SUM(D148,D181,D189)</f>
        <v>-15181.07</v>
      </c>
      <c r="E147" s="34">
        <f>SUM(E148,E181,E189)</f>
        <v>322031.94000000006</v>
      </c>
      <c r="F147" s="64"/>
      <c r="G147" s="34">
        <f>SUM(G148,G181,G189)</f>
        <v>0</v>
      </c>
      <c r="H147" s="41">
        <f>SUM(H148,H181,H189)</f>
        <v>-238711.38</v>
      </c>
      <c r="I147" s="34">
        <f>SUM(I148,I181,I189)</f>
        <v>238711.38</v>
      </c>
      <c r="K147" s="34">
        <f>SUM(K148,K181,K189)</f>
        <v>0</v>
      </c>
      <c r="L147" s="41">
        <f>SUM(L148,L181,L189)</f>
        <v>-238711.37999999992</v>
      </c>
      <c r="M147" s="34">
        <f>SUM(M148,M181,M189)</f>
        <v>238711.37999999992</v>
      </c>
    </row>
    <row r="148" spans="1:13">
      <c r="A148" s="27" t="s">
        <v>234</v>
      </c>
      <c r="B148" s="16" t="s">
        <v>235</v>
      </c>
      <c r="C148" s="43">
        <f>SUM(C149:C180)</f>
        <v>305275.24</v>
      </c>
      <c r="D148" s="18">
        <f>SUM(D149:D180)</f>
        <v>14204.03</v>
      </c>
      <c r="E148" s="43">
        <f>SUM(E149:E180)</f>
        <v>291071.21000000002</v>
      </c>
      <c r="F148" s="64"/>
      <c r="G148" s="43">
        <f>SUM(G149:G180)</f>
        <v>0</v>
      </c>
      <c r="H148" s="18">
        <f>SUM(H149:H180)</f>
        <v>-171211.38</v>
      </c>
      <c r="I148" s="43">
        <f>SUM(I149:I180)</f>
        <v>171211.38</v>
      </c>
      <c r="K148" s="43">
        <f>SUM(K149:K180)</f>
        <v>0</v>
      </c>
      <c r="L148" s="18">
        <f>SUM(L149:L180)</f>
        <v>-171211.37999999992</v>
      </c>
      <c r="M148" s="43">
        <f>SUM(M149:M180)</f>
        <v>171211.37999999992</v>
      </c>
    </row>
    <row r="149" spans="1:13">
      <c r="A149" s="36" t="s">
        <v>236</v>
      </c>
      <c r="B149" s="20" t="s">
        <v>237</v>
      </c>
      <c r="C149" s="22">
        <v>2176.0700000000002</v>
      </c>
      <c r="D149" s="21">
        <f t="shared" ref="D149:D180" si="12">-E149+C149</f>
        <v>-1174.4699999999998</v>
      </c>
      <c r="E149" s="84">
        <v>3350.54</v>
      </c>
      <c r="F149" s="91"/>
      <c r="G149" s="22">
        <v>0</v>
      </c>
      <c r="H149" s="21">
        <f t="shared" ref="H149:H180" si="13">-I149+G149</f>
        <v>-7768.99</v>
      </c>
      <c r="I149" s="84">
        <v>7768.99</v>
      </c>
      <c r="K149" s="22">
        <v>0</v>
      </c>
      <c r="L149" s="21">
        <f t="shared" ref="L149:L180" si="14">-M149+K149</f>
        <v>-5350.3556250000001</v>
      </c>
      <c r="M149" s="84">
        <f>$G$30/32</f>
        <v>5350.3556250000001</v>
      </c>
    </row>
    <row r="150" spans="1:13">
      <c r="A150" s="36" t="s">
        <v>238</v>
      </c>
      <c r="B150" s="20" t="s">
        <v>239</v>
      </c>
      <c r="C150" s="22">
        <v>1876.81</v>
      </c>
      <c r="D150" s="21">
        <f t="shared" si="12"/>
        <v>430.72</v>
      </c>
      <c r="E150" s="84">
        <v>1446.09</v>
      </c>
      <c r="F150" s="91"/>
      <c r="G150" s="22">
        <v>0</v>
      </c>
      <c r="H150" s="21">
        <f t="shared" si="13"/>
        <v>-2380.1799999999998</v>
      </c>
      <c r="I150" s="84">
        <v>2380.1799999999998</v>
      </c>
      <c r="K150" s="22">
        <v>0</v>
      </c>
      <c r="L150" s="21">
        <f t="shared" si="14"/>
        <v>-5350.3556250000001</v>
      </c>
      <c r="M150" s="84">
        <f t="shared" ref="M150:M180" si="15">$G$30/32</f>
        <v>5350.3556250000001</v>
      </c>
    </row>
    <row r="151" spans="1:13">
      <c r="A151" s="36" t="s">
        <v>240</v>
      </c>
      <c r="B151" s="37" t="s">
        <v>241</v>
      </c>
      <c r="C151" s="22">
        <v>17516.91</v>
      </c>
      <c r="D151" s="21">
        <f t="shared" si="12"/>
        <v>1151.0300000000007</v>
      </c>
      <c r="E151" s="84">
        <v>16365.88</v>
      </c>
      <c r="F151" s="91"/>
      <c r="G151" s="22">
        <v>0</v>
      </c>
      <c r="H151" s="21">
        <f t="shared" si="13"/>
        <v>-11827.22</v>
      </c>
      <c r="I151" s="84">
        <v>11827.22</v>
      </c>
      <c r="K151" s="22">
        <v>0</v>
      </c>
      <c r="L151" s="21">
        <f t="shared" si="14"/>
        <v>-5350.3556250000001</v>
      </c>
      <c r="M151" s="84">
        <f t="shared" si="15"/>
        <v>5350.3556250000001</v>
      </c>
    </row>
    <row r="152" spans="1:13">
      <c r="A152" s="36" t="s">
        <v>242</v>
      </c>
      <c r="B152" s="57" t="s">
        <v>243</v>
      </c>
      <c r="C152" s="22">
        <v>1993.01</v>
      </c>
      <c r="D152" s="21">
        <f t="shared" si="12"/>
        <v>-361.31000000000017</v>
      </c>
      <c r="E152" s="84">
        <v>2354.3200000000002</v>
      </c>
      <c r="F152" s="91"/>
      <c r="G152" s="22">
        <v>0</v>
      </c>
      <c r="H152" s="21">
        <f t="shared" si="13"/>
        <v>-2550.66</v>
      </c>
      <c r="I152" s="84">
        <v>2550.66</v>
      </c>
      <c r="K152" s="22">
        <v>0</v>
      </c>
      <c r="L152" s="21">
        <f t="shared" si="14"/>
        <v>-5350.3556250000001</v>
      </c>
      <c r="M152" s="84">
        <f t="shared" si="15"/>
        <v>5350.3556250000001</v>
      </c>
    </row>
    <row r="153" spans="1:13">
      <c r="A153" s="36" t="s">
        <v>244</v>
      </c>
      <c r="B153" s="57" t="s">
        <v>245</v>
      </c>
      <c r="C153" s="22">
        <v>5519.83</v>
      </c>
      <c r="D153" s="21">
        <f t="shared" si="12"/>
        <v>-3912.0699999999997</v>
      </c>
      <c r="E153" s="84">
        <v>9431.9</v>
      </c>
      <c r="F153" s="91"/>
      <c r="G153" s="22">
        <v>0</v>
      </c>
      <c r="H153" s="21">
        <f t="shared" si="13"/>
        <v>-13923.66</v>
      </c>
      <c r="I153" s="84">
        <v>13923.66</v>
      </c>
      <c r="K153" s="22">
        <v>0</v>
      </c>
      <c r="L153" s="21">
        <f t="shared" si="14"/>
        <v>-5350.3556250000001</v>
      </c>
      <c r="M153" s="84">
        <f t="shared" si="15"/>
        <v>5350.3556250000001</v>
      </c>
    </row>
    <row r="154" spans="1:13">
      <c r="A154" s="36" t="s">
        <v>246</v>
      </c>
      <c r="B154" s="57" t="s">
        <v>247</v>
      </c>
      <c r="C154" s="22">
        <v>15629.83</v>
      </c>
      <c r="D154" s="21">
        <f t="shared" si="12"/>
        <v>1697.92</v>
      </c>
      <c r="E154" s="84">
        <v>13931.91</v>
      </c>
      <c r="F154" s="91"/>
      <c r="G154" s="22">
        <v>0</v>
      </c>
      <c r="H154" s="21">
        <f t="shared" si="13"/>
        <v>-2426.9499999999998</v>
      </c>
      <c r="I154" s="84">
        <v>2426.9499999999998</v>
      </c>
      <c r="K154" s="22">
        <v>0</v>
      </c>
      <c r="L154" s="21">
        <f t="shared" si="14"/>
        <v>-5350.3556250000001</v>
      </c>
      <c r="M154" s="84">
        <f t="shared" si="15"/>
        <v>5350.3556250000001</v>
      </c>
    </row>
    <row r="155" spans="1:13">
      <c r="A155" s="36" t="s">
        <v>248</v>
      </c>
      <c r="B155" s="20" t="s">
        <v>249</v>
      </c>
      <c r="C155" s="22">
        <v>3980.47</v>
      </c>
      <c r="D155" s="21">
        <f t="shared" si="12"/>
        <v>771.39999999999964</v>
      </c>
      <c r="E155" s="84">
        <v>3209.07</v>
      </c>
      <c r="F155" s="91"/>
      <c r="G155" s="22">
        <v>0</v>
      </c>
      <c r="H155" s="21">
        <f t="shared" si="13"/>
        <v>-3267.72</v>
      </c>
      <c r="I155" s="84">
        <v>3267.72</v>
      </c>
      <c r="K155" s="22">
        <v>0</v>
      </c>
      <c r="L155" s="21">
        <f t="shared" si="14"/>
        <v>-5350.3556250000001</v>
      </c>
      <c r="M155" s="84">
        <f t="shared" si="15"/>
        <v>5350.3556250000001</v>
      </c>
    </row>
    <row r="156" spans="1:13">
      <c r="A156" s="36" t="s">
        <v>250</v>
      </c>
      <c r="B156" s="20" t="s">
        <v>251</v>
      </c>
      <c r="C156" s="22">
        <v>2834.66</v>
      </c>
      <c r="D156" s="21">
        <f t="shared" si="12"/>
        <v>-675.07000000000016</v>
      </c>
      <c r="E156" s="84">
        <v>3509.73</v>
      </c>
      <c r="F156" s="91"/>
      <c r="G156" s="22">
        <v>0</v>
      </c>
      <c r="H156" s="21">
        <f t="shared" si="13"/>
        <v>-4023.32</v>
      </c>
      <c r="I156" s="84">
        <v>4023.32</v>
      </c>
      <c r="K156" s="22">
        <v>0</v>
      </c>
      <c r="L156" s="21">
        <f t="shared" si="14"/>
        <v>-5350.3556250000001</v>
      </c>
      <c r="M156" s="84">
        <f t="shared" si="15"/>
        <v>5350.3556250000001</v>
      </c>
    </row>
    <row r="157" spans="1:13">
      <c r="A157" s="36" t="s">
        <v>252</v>
      </c>
      <c r="B157" s="20" t="s">
        <v>253</v>
      </c>
      <c r="C157" s="22">
        <v>13970.71</v>
      </c>
      <c r="D157" s="21">
        <f t="shared" si="12"/>
        <v>-283.26000000000022</v>
      </c>
      <c r="E157" s="84">
        <v>14253.97</v>
      </c>
      <c r="F157" s="91"/>
      <c r="G157" s="22">
        <v>0</v>
      </c>
      <c r="H157" s="21">
        <f t="shared" si="13"/>
        <v>-6621.28</v>
      </c>
      <c r="I157" s="84">
        <v>6621.28</v>
      </c>
      <c r="K157" s="22">
        <v>0</v>
      </c>
      <c r="L157" s="21">
        <f t="shared" si="14"/>
        <v>-5350.3556250000001</v>
      </c>
      <c r="M157" s="84">
        <f t="shared" si="15"/>
        <v>5350.3556250000001</v>
      </c>
    </row>
    <row r="158" spans="1:13">
      <c r="A158" s="36" t="s">
        <v>254</v>
      </c>
      <c r="B158" s="20" t="s">
        <v>255</v>
      </c>
      <c r="C158" s="38">
        <v>1594.84</v>
      </c>
      <c r="D158" s="21">
        <f t="shared" si="12"/>
        <v>1594.84</v>
      </c>
      <c r="E158" s="84">
        <v>0</v>
      </c>
      <c r="F158" s="91"/>
      <c r="G158" s="38">
        <v>0</v>
      </c>
      <c r="H158" s="21">
        <f t="shared" si="13"/>
        <v>-4280.13</v>
      </c>
      <c r="I158" s="84">
        <v>4280.13</v>
      </c>
      <c r="K158" s="38">
        <v>0</v>
      </c>
      <c r="L158" s="21">
        <f t="shared" si="14"/>
        <v>-5350.3556250000001</v>
      </c>
      <c r="M158" s="84">
        <f t="shared" si="15"/>
        <v>5350.3556250000001</v>
      </c>
    </row>
    <row r="159" spans="1:13">
      <c r="A159" s="36" t="s">
        <v>256</v>
      </c>
      <c r="B159" s="20" t="s">
        <v>257</v>
      </c>
      <c r="C159" s="22">
        <v>1800.73</v>
      </c>
      <c r="D159" s="21">
        <f t="shared" si="12"/>
        <v>1357.56</v>
      </c>
      <c r="E159" s="84">
        <v>443.17</v>
      </c>
      <c r="F159" s="91"/>
      <c r="G159" s="22">
        <v>0</v>
      </c>
      <c r="H159" s="21">
        <f t="shared" si="13"/>
        <v>-1709.63</v>
      </c>
      <c r="I159" s="84">
        <v>1709.63</v>
      </c>
      <c r="K159" s="22">
        <v>0</v>
      </c>
      <c r="L159" s="21">
        <f t="shared" si="14"/>
        <v>-5350.3556250000001</v>
      </c>
      <c r="M159" s="84">
        <f t="shared" si="15"/>
        <v>5350.3556250000001</v>
      </c>
    </row>
    <row r="160" spans="1:13">
      <c r="A160" s="36" t="s">
        <v>258</v>
      </c>
      <c r="B160" s="20" t="s">
        <v>259</v>
      </c>
      <c r="C160" s="38">
        <v>47926.42</v>
      </c>
      <c r="D160" s="21">
        <f t="shared" si="12"/>
        <v>-5591.0299999999988</v>
      </c>
      <c r="E160" s="84">
        <v>53517.45</v>
      </c>
      <c r="F160" s="91"/>
      <c r="G160" s="38">
        <v>0</v>
      </c>
      <c r="H160" s="21">
        <f t="shared" si="13"/>
        <v>-11213.52</v>
      </c>
      <c r="I160" s="84">
        <v>11213.52</v>
      </c>
      <c r="K160" s="38">
        <v>0</v>
      </c>
      <c r="L160" s="21">
        <f t="shared" si="14"/>
        <v>-5350.3556250000001</v>
      </c>
      <c r="M160" s="84">
        <f t="shared" si="15"/>
        <v>5350.3556250000001</v>
      </c>
    </row>
    <row r="161" spans="1:13">
      <c r="A161" s="36" t="s">
        <v>260</v>
      </c>
      <c r="B161" s="20" t="s">
        <v>261</v>
      </c>
      <c r="C161" s="26">
        <v>1821.07</v>
      </c>
      <c r="D161" s="21">
        <f t="shared" si="12"/>
        <v>352.36999999999989</v>
      </c>
      <c r="E161" s="84">
        <v>1468.7</v>
      </c>
      <c r="F161" s="91"/>
      <c r="G161" s="26">
        <v>0</v>
      </c>
      <c r="H161" s="21">
        <f t="shared" si="13"/>
        <v>-3735.67</v>
      </c>
      <c r="I161" s="84">
        <v>3735.67</v>
      </c>
      <c r="K161" s="26">
        <v>0</v>
      </c>
      <c r="L161" s="21">
        <f t="shared" si="14"/>
        <v>-5350.3556250000001</v>
      </c>
      <c r="M161" s="84">
        <f t="shared" si="15"/>
        <v>5350.3556250000001</v>
      </c>
    </row>
    <row r="162" spans="1:13">
      <c r="A162" s="36" t="s">
        <v>262</v>
      </c>
      <c r="B162" s="20" t="s">
        <v>263</v>
      </c>
      <c r="C162" s="26">
        <v>3603.24</v>
      </c>
      <c r="D162" s="21">
        <f t="shared" si="12"/>
        <v>58.609999999999673</v>
      </c>
      <c r="E162" s="84">
        <v>3544.63</v>
      </c>
      <c r="F162" s="91"/>
      <c r="G162" s="26">
        <v>0</v>
      </c>
      <c r="H162" s="21">
        <f t="shared" si="13"/>
        <v>-3090.02</v>
      </c>
      <c r="I162" s="84">
        <v>3090.02</v>
      </c>
      <c r="K162" s="26">
        <v>0</v>
      </c>
      <c r="L162" s="21">
        <f t="shared" si="14"/>
        <v>-5350.3556250000001</v>
      </c>
      <c r="M162" s="84">
        <f t="shared" si="15"/>
        <v>5350.3556250000001</v>
      </c>
    </row>
    <row r="163" spans="1:13">
      <c r="A163" s="36" t="s">
        <v>264</v>
      </c>
      <c r="B163" s="20" t="s">
        <v>265</v>
      </c>
      <c r="C163" s="26">
        <v>1575.81</v>
      </c>
      <c r="D163" s="21">
        <f t="shared" si="12"/>
        <v>130.33999999999992</v>
      </c>
      <c r="E163" s="84">
        <v>1445.47</v>
      </c>
      <c r="F163" s="91"/>
      <c r="G163" s="26">
        <v>0</v>
      </c>
      <c r="H163" s="21">
        <f t="shared" si="13"/>
        <v>-4048.38</v>
      </c>
      <c r="I163" s="84">
        <v>4048.38</v>
      </c>
      <c r="K163" s="26">
        <v>0</v>
      </c>
      <c r="L163" s="21">
        <f t="shared" si="14"/>
        <v>-5350.3556250000001</v>
      </c>
      <c r="M163" s="84">
        <f t="shared" si="15"/>
        <v>5350.3556250000001</v>
      </c>
    </row>
    <row r="164" spans="1:13">
      <c r="A164" s="36" t="s">
        <v>266</v>
      </c>
      <c r="B164" s="20" t="s">
        <v>267</v>
      </c>
      <c r="C164" s="22">
        <v>3686.41</v>
      </c>
      <c r="D164" s="21">
        <f t="shared" si="12"/>
        <v>-79.420000000000073</v>
      </c>
      <c r="E164" s="84">
        <v>3765.83</v>
      </c>
      <c r="F164" s="91"/>
      <c r="G164" s="22">
        <v>0</v>
      </c>
      <c r="H164" s="21">
        <f t="shared" si="13"/>
        <v>-6847.28</v>
      </c>
      <c r="I164" s="84">
        <v>6847.28</v>
      </c>
      <c r="K164" s="22">
        <v>0</v>
      </c>
      <c r="L164" s="21">
        <f t="shared" si="14"/>
        <v>-5350.3556250000001</v>
      </c>
      <c r="M164" s="84">
        <f t="shared" si="15"/>
        <v>5350.3556250000001</v>
      </c>
    </row>
    <row r="165" spans="1:13">
      <c r="A165" s="36" t="s">
        <v>268</v>
      </c>
      <c r="B165" s="20" t="s">
        <v>269</v>
      </c>
      <c r="C165" s="22">
        <v>5504.05</v>
      </c>
      <c r="D165" s="21">
        <f t="shared" si="12"/>
        <v>1477.23</v>
      </c>
      <c r="E165" s="84">
        <v>4026.82</v>
      </c>
      <c r="F165" s="91"/>
      <c r="G165" s="22">
        <v>0</v>
      </c>
      <c r="H165" s="21">
        <f t="shared" si="13"/>
        <v>-2095.94</v>
      </c>
      <c r="I165" s="84">
        <v>2095.94</v>
      </c>
      <c r="K165" s="22">
        <v>0</v>
      </c>
      <c r="L165" s="21">
        <f t="shared" si="14"/>
        <v>-5350.3556250000001</v>
      </c>
      <c r="M165" s="84">
        <f t="shared" si="15"/>
        <v>5350.3556250000001</v>
      </c>
    </row>
    <row r="166" spans="1:13">
      <c r="A166" s="36" t="s">
        <v>270</v>
      </c>
      <c r="B166" s="20" t="s">
        <v>271</v>
      </c>
      <c r="C166" s="22">
        <v>3675.59</v>
      </c>
      <c r="D166" s="21">
        <f t="shared" si="12"/>
        <v>894.20000000000027</v>
      </c>
      <c r="E166" s="84">
        <v>2781.39</v>
      </c>
      <c r="F166" s="91"/>
      <c r="G166" s="22">
        <v>0</v>
      </c>
      <c r="H166" s="21">
        <f t="shared" si="13"/>
        <v>-2497.59</v>
      </c>
      <c r="I166" s="84">
        <v>2497.59</v>
      </c>
      <c r="K166" s="22">
        <v>0</v>
      </c>
      <c r="L166" s="21">
        <f t="shared" si="14"/>
        <v>-5350.3556250000001</v>
      </c>
      <c r="M166" s="84">
        <f t="shared" si="15"/>
        <v>5350.3556250000001</v>
      </c>
    </row>
    <row r="167" spans="1:13">
      <c r="A167" s="36" t="s">
        <v>272</v>
      </c>
      <c r="B167" s="20" t="s">
        <v>273</v>
      </c>
      <c r="C167" s="22">
        <v>114860.48</v>
      </c>
      <c r="D167" s="21">
        <f t="shared" si="12"/>
        <v>11917.550000000003</v>
      </c>
      <c r="E167" s="84">
        <v>102942.93</v>
      </c>
      <c r="F167" s="91"/>
      <c r="G167" s="22">
        <v>0</v>
      </c>
      <c r="H167" s="21">
        <f t="shared" si="13"/>
        <v>-26611.57</v>
      </c>
      <c r="I167" s="84">
        <v>26611.57</v>
      </c>
      <c r="K167" s="22">
        <v>0</v>
      </c>
      <c r="L167" s="21">
        <f t="shared" si="14"/>
        <v>-5350.3556250000001</v>
      </c>
      <c r="M167" s="84">
        <f t="shared" si="15"/>
        <v>5350.3556250000001</v>
      </c>
    </row>
    <row r="168" spans="1:13">
      <c r="A168" s="36" t="s">
        <v>274</v>
      </c>
      <c r="B168" s="20" t="s">
        <v>275</v>
      </c>
      <c r="C168" s="22">
        <v>1998.37</v>
      </c>
      <c r="D168" s="21">
        <f t="shared" si="12"/>
        <v>360.93999999999983</v>
      </c>
      <c r="E168" s="84">
        <v>1637.43</v>
      </c>
      <c r="F168" s="91"/>
      <c r="G168" s="22">
        <v>0</v>
      </c>
      <c r="H168" s="21">
        <f t="shared" si="13"/>
        <v>-1214.82</v>
      </c>
      <c r="I168" s="84">
        <v>1214.82</v>
      </c>
      <c r="K168" s="22">
        <v>0</v>
      </c>
      <c r="L168" s="21">
        <f t="shared" si="14"/>
        <v>-5350.3556250000001</v>
      </c>
      <c r="M168" s="84">
        <f t="shared" si="15"/>
        <v>5350.3556250000001</v>
      </c>
    </row>
    <row r="169" spans="1:13">
      <c r="A169" s="36" t="s">
        <v>276</v>
      </c>
      <c r="B169" s="20" t="s">
        <v>277</v>
      </c>
      <c r="C169" s="22">
        <v>1448.15</v>
      </c>
      <c r="D169" s="21">
        <f t="shared" si="12"/>
        <v>1320.65</v>
      </c>
      <c r="E169" s="84">
        <v>127.5</v>
      </c>
      <c r="F169" s="91"/>
      <c r="G169" s="22">
        <v>0</v>
      </c>
      <c r="H169" s="21">
        <f t="shared" si="13"/>
        <v>-4567.7</v>
      </c>
      <c r="I169" s="84">
        <v>4567.7</v>
      </c>
      <c r="K169" s="22">
        <v>0</v>
      </c>
      <c r="L169" s="21">
        <f t="shared" si="14"/>
        <v>-5350.3556250000001</v>
      </c>
      <c r="M169" s="84">
        <f t="shared" si="15"/>
        <v>5350.3556250000001</v>
      </c>
    </row>
    <row r="170" spans="1:13">
      <c r="A170" s="36" t="s">
        <v>278</v>
      </c>
      <c r="B170" s="20" t="s">
        <v>279</v>
      </c>
      <c r="C170" s="22">
        <v>5959.16</v>
      </c>
      <c r="D170" s="21">
        <f t="shared" si="12"/>
        <v>-1981.4899999999998</v>
      </c>
      <c r="E170" s="84">
        <v>7940.65</v>
      </c>
      <c r="F170" s="91"/>
      <c r="G170" s="22">
        <v>0</v>
      </c>
      <c r="H170" s="21">
        <f t="shared" si="13"/>
        <v>-11061.22</v>
      </c>
      <c r="I170" s="84">
        <v>11061.22</v>
      </c>
      <c r="K170" s="22">
        <v>0</v>
      </c>
      <c r="L170" s="21">
        <f t="shared" si="14"/>
        <v>-5350.3556250000001</v>
      </c>
      <c r="M170" s="84">
        <f t="shared" si="15"/>
        <v>5350.3556250000001</v>
      </c>
    </row>
    <row r="171" spans="1:13">
      <c r="A171" s="36" t="s">
        <v>280</v>
      </c>
      <c r="B171" s="20" t="s">
        <v>281</v>
      </c>
      <c r="C171" s="22">
        <v>4282.83</v>
      </c>
      <c r="D171" s="21">
        <f t="shared" si="12"/>
        <v>343.28999999999996</v>
      </c>
      <c r="E171" s="84">
        <v>3939.54</v>
      </c>
      <c r="F171" s="91"/>
      <c r="G171" s="22">
        <v>0</v>
      </c>
      <c r="H171" s="21">
        <f t="shared" si="13"/>
        <v>-1543.73</v>
      </c>
      <c r="I171" s="84">
        <v>1543.73</v>
      </c>
      <c r="K171" s="22">
        <v>0</v>
      </c>
      <c r="L171" s="21">
        <f t="shared" si="14"/>
        <v>-5350.3556250000001</v>
      </c>
      <c r="M171" s="84">
        <f t="shared" si="15"/>
        <v>5350.3556250000001</v>
      </c>
    </row>
    <row r="172" spans="1:13">
      <c r="A172" s="36" t="s">
        <v>282</v>
      </c>
      <c r="B172" s="20" t="s">
        <v>283</v>
      </c>
      <c r="C172" s="22">
        <v>4049.72</v>
      </c>
      <c r="D172" s="21">
        <f t="shared" si="12"/>
        <v>34.4399999999996</v>
      </c>
      <c r="E172" s="84">
        <v>4015.28</v>
      </c>
      <c r="F172" s="91"/>
      <c r="G172" s="22">
        <v>0</v>
      </c>
      <c r="H172" s="21">
        <f t="shared" si="13"/>
        <v>-4862.37</v>
      </c>
      <c r="I172" s="84">
        <v>4862.37</v>
      </c>
      <c r="K172" s="22">
        <v>0</v>
      </c>
      <c r="L172" s="21">
        <f t="shared" si="14"/>
        <v>-5350.3556250000001</v>
      </c>
      <c r="M172" s="84">
        <f t="shared" si="15"/>
        <v>5350.3556250000001</v>
      </c>
    </row>
    <row r="173" spans="1:13">
      <c r="A173" s="36" t="s">
        <v>284</v>
      </c>
      <c r="B173" s="20" t="s">
        <v>285</v>
      </c>
      <c r="C173" s="22">
        <v>1554.64</v>
      </c>
      <c r="D173" s="21">
        <f t="shared" si="12"/>
        <v>-7.8699999999998909</v>
      </c>
      <c r="E173" s="84">
        <v>1562.51</v>
      </c>
      <c r="F173" s="91"/>
      <c r="G173" s="22">
        <v>0</v>
      </c>
      <c r="H173" s="21">
        <f t="shared" si="13"/>
        <v>-3028.66</v>
      </c>
      <c r="I173" s="84">
        <v>3028.66</v>
      </c>
      <c r="K173" s="22">
        <v>0</v>
      </c>
      <c r="L173" s="21">
        <f t="shared" si="14"/>
        <v>-5350.3556250000001</v>
      </c>
      <c r="M173" s="84">
        <f t="shared" si="15"/>
        <v>5350.3556250000001</v>
      </c>
    </row>
    <row r="174" spans="1:13">
      <c r="A174" s="36" t="s">
        <v>286</v>
      </c>
      <c r="B174" s="20" t="s">
        <v>287</v>
      </c>
      <c r="C174" s="22">
        <v>6908.46</v>
      </c>
      <c r="D174" s="21">
        <f t="shared" si="12"/>
        <v>-954.14000000000033</v>
      </c>
      <c r="E174" s="84">
        <v>7862.6</v>
      </c>
      <c r="F174" s="91"/>
      <c r="G174" s="22">
        <v>0</v>
      </c>
      <c r="H174" s="21">
        <f t="shared" si="13"/>
        <v>-6238.45</v>
      </c>
      <c r="I174" s="84">
        <v>6238.45</v>
      </c>
      <c r="K174" s="22">
        <v>0</v>
      </c>
      <c r="L174" s="21">
        <f t="shared" si="14"/>
        <v>-5350.3556250000001</v>
      </c>
      <c r="M174" s="84">
        <f t="shared" si="15"/>
        <v>5350.3556250000001</v>
      </c>
    </row>
    <row r="175" spans="1:13">
      <c r="A175" s="36" t="s">
        <v>288</v>
      </c>
      <c r="B175" s="20" t="s">
        <v>289</v>
      </c>
      <c r="C175" s="22">
        <v>1849.93</v>
      </c>
      <c r="D175" s="21">
        <f t="shared" si="12"/>
        <v>500.81000000000017</v>
      </c>
      <c r="E175" s="84">
        <v>1349.12</v>
      </c>
      <c r="F175" s="91"/>
      <c r="G175" s="22">
        <v>0</v>
      </c>
      <c r="H175" s="21">
        <f t="shared" si="13"/>
        <v>-5195.7299999999996</v>
      </c>
      <c r="I175" s="84">
        <v>5195.7299999999996</v>
      </c>
      <c r="K175" s="22">
        <v>0</v>
      </c>
      <c r="L175" s="21">
        <f t="shared" si="14"/>
        <v>-5350.3556250000001</v>
      </c>
      <c r="M175" s="84">
        <f t="shared" si="15"/>
        <v>5350.3556250000001</v>
      </c>
    </row>
    <row r="176" spans="1:13">
      <c r="A176" s="36" t="s">
        <v>290</v>
      </c>
      <c r="B176" s="20" t="s">
        <v>291</v>
      </c>
      <c r="C176" s="22">
        <v>7811.25</v>
      </c>
      <c r="D176" s="21">
        <f t="shared" si="12"/>
        <v>1351.62</v>
      </c>
      <c r="E176" s="84">
        <v>6459.63</v>
      </c>
      <c r="F176" s="91"/>
      <c r="G176" s="22">
        <v>0</v>
      </c>
      <c r="H176" s="21">
        <f t="shared" si="13"/>
        <v>-1472.77</v>
      </c>
      <c r="I176" s="84">
        <v>1472.77</v>
      </c>
      <c r="K176" s="22">
        <v>0</v>
      </c>
      <c r="L176" s="21">
        <f t="shared" si="14"/>
        <v>-5350.3556250000001</v>
      </c>
      <c r="M176" s="84">
        <f t="shared" si="15"/>
        <v>5350.3556250000001</v>
      </c>
    </row>
    <row r="177" spans="1:13">
      <c r="A177" s="36" t="s">
        <v>292</v>
      </c>
      <c r="B177" s="54" t="s">
        <v>408</v>
      </c>
      <c r="C177" s="26">
        <v>1402.22</v>
      </c>
      <c r="D177" s="39">
        <f t="shared" si="12"/>
        <v>992.90000000000009</v>
      </c>
      <c r="E177" s="84">
        <v>409.32</v>
      </c>
      <c r="F177" s="91"/>
      <c r="G177" s="26">
        <v>0</v>
      </c>
      <c r="H177" s="39">
        <f t="shared" si="13"/>
        <v>-880.6</v>
      </c>
      <c r="I177" s="84">
        <v>880.6</v>
      </c>
      <c r="K177" s="26">
        <v>0</v>
      </c>
      <c r="L177" s="39">
        <f t="shared" si="14"/>
        <v>-5350.3556250000001</v>
      </c>
      <c r="M177" s="84">
        <f t="shared" si="15"/>
        <v>5350.3556250000001</v>
      </c>
    </row>
    <row r="178" spans="1:13">
      <c r="A178" s="36" t="s">
        <v>293</v>
      </c>
      <c r="B178" s="20" t="s">
        <v>294</v>
      </c>
      <c r="C178" s="22">
        <v>2863.79</v>
      </c>
      <c r="D178" s="21">
        <f t="shared" si="12"/>
        <v>-206.7800000000002</v>
      </c>
      <c r="E178" s="84">
        <v>3070.57</v>
      </c>
      <c r="F178" s="91"/>
      <c r="G178" s="22">
        <v>0</v>
      </c>
      <c r="H178" s="21">
        <f t="shared" si="13"/>
        <v>-3286.93</v>
      </c>
      <c r="I178" s="84">
        <v>3286.93</v>
      </c>
      <c r="K178" s="22">
        <v>0</v>
      </c>
      <c r="L178" s="21">
        <f t="shared" si="14"/>
        <v>-5350.3556250000001</v>
      </c>
      <c r="M178" s="84">
        <f t="shared" si="15"/>
        <v>5350.3556250000001</v>
      </c>
    </row>
    <row r="179" spans="1:13">
      <c r="A179" s="36" t="s">
        <v>295</v>
      </c>
      <c r="B179" s="20" t="s">
        <v>296</v>
      </c>
      <c r="C179" s="22">
        <v>2819.7</v>
      </c>
      <c r="D179" s="21">
        <f t="shared" si="12"/>
        <v>1064.2099999999998</v>
      </c>
      <c r="E179" s="84">
        <v>1755.49</v>
      </c>
      <c r="F179" s="91"/>
      <c r="G179" s="22">
        <v>0</v>
      </c>
      <c r="H179" s="21">
        <f t="shared" si="13"/>
        <v>-3458.65</v>
      </c>
      <c r="I179" s="84">
        <v>3458.65</v>
      </c>
      <c r="K179" s="22">
        <v>0</v>
      </c>
      <c r="L179" s="21">
        <f t="shared" si="14"/>
        <v>-5350.3556250000001</v>
      </c>
      <c r="M179" s="84">
        <f t="shared" si="15"/>
        <v>5350.3556250000001</v>
      </c>
    </row>
    <row r="180" spans="1:13">
      <c r="A180" s="36" t="s">
        <v>297</v>
      </c>
      <c r="B180" s="20" t="s">
        <v>405</v>
      </c>
      <c r="C180" s="22">
        <v>10780.08</v>
      </c>
      <c r="D180" s="21">
        <f t="shared" si="12"/>
        <v>1628.3099999999995</v>
      </c>
      <c r="E180" s="84">
        <v>9151.77</v>
      </c>
      <c r="F180" s="91"/>
      <c r="G180" s="22">
        <v>0</v>
      </c>
      <c r="H180" s="21">
        <f t="shared" si="13"/>
        <v>-3480.04</v>
      </c>
      <c r="I180" s="84">
        <v>3480.04</v>
      </c>
      <c r="K180" s="22">
        <v>0</v>
      </c>
      <c r="L180" s="21">
        <f t="shared" si="14"/>
        <v>-5350.3556250000001</v>
      </c>
      <c r="M180" s="84">
        <f t="shared" si="15"/>
        <v>5350.3556250000001</v>
      </c>
    </row>
    <row r="181" spans="1:13">
      <c r="A181" s="27" t="s">
        <v>298</v>
      </c>
      <c r="B181" s="24" t="s">
        <v>299</v>
      </c>
      <c r="C181" s="43">
        <f>SUM(C182:C188)</f>
        <v>75.63</v>
      </c>
      <c r="D181" s="18">
        <f>SUM(D182:D188)</f>
        <v>-5942.39</v>
      </c>
      <c r="E181" s="43">
        <f>SUM(E182:E188)</f>
        <v>6018.02</v>
      </c>
      <c r="F181" s="64"/>
      <c r="G181" s="43">
        <f>SUM(G182:G188)</f>
        <v>0</v>
      </c>
      <c r="H181" s="18">
        <f>SUM(H182:H188)</f>
        <v>-17500</v>
      </c>
      <c r="I181" s="43">
        <f>SUM(I182:I188)</f>
        <v>17500</v>
      </c>
      <c r="K181" s="43">
        <f>SUM(K182:K188)</f>
        <v>0</v>
      </c>
      <c r="L181" s="18">
        <f>SUM(L182:L188)</f>
        <v>-17500</v>
      </c>
      <c r="M181" s="43">
        <f>SUM(M182:M188)</f>
        <v>17500</v>
      </c>
    </row>
    <row r="182" spans="1:13">
      <c r="A182" s="25" t="s">
        <v>300</v>
      </c>
      <c r="B182" s="20" t="s">
        <v>301</v>
      </c>
      <c r="C182" s="22">
        <v>75.63</v>
      </c>
      <c r="D182" s="21">
        <f t="shared" ref="D182:D188" si="16">-E182+C182</f>
        <v>-364.8</v>
      </c>
      <c r="E182" s="26">
        <v>440.43</v>
      </c>
      <c r="F182" s="91"/>
      <c r="G182" s="22">
        <v>0</v>
      </c>
      <c r="H182" s="21">
        <f t="shared" ref="H182:H188" si="17">-I182+G182</f>
        <v>-2500</v>
      </c>
      <c r="I182" s="26">
        <v>2500</v>
      </c>
      <c r="K182" s="22">
        <v>0</v>
      </c>
      <c r="L182" s="21">
        <f t="shared" ref="L182:L188" si="18">-M182+K182</f>
        <v>-2500</v>
      </c>
      <c r="M182" s="26">
        <v>2500</v>
      </c>
    </row>
    <row r="183" spans="1:13">
      <c r="A183" s="25" t="s">
        <v>302</v>
      </c>
      <c r="B183" s="20" t="s">
        <v>303</v>
      </c>
      <c r="C183" s="22">
        <v>0</v>
      </c>
      <c r="D183" s="21">
        <f t="shared" si="16"/>
        <v>-969.14</v>
      </c>
      <c r="E183" s="26">
        <v>969.14</v>
      </c>
      <c r="F183" s="91"/>
      <c r="G183" s="22">
        <v>0</v>
      </c>
      <c r="H183" s="21">
        <f t="shared" si="17"/>
        <v>-2500</v>
      </c>
      <c r="I183" s="26">
        <v>2500</v>
      </c>
      <c r="K183" s="22">
        <v>0</v>
      </c>
      <c r="L183" s="21">
        <f t="shared" si="18"/>
        <v>-2500</v>
      </c>
      <c r="M183" s="26">
        <v>2500</v>
      </c>
    </row>
    <row r="184" spans="1:13">
      <c r="A184" s="25" t="s">
        <v>304</v>
      </c>
      <c r="B184" s="29" t="s">
        <v>603</v>
      </c>
      <c r="C184" s="22">
        <v>0</v>
      </c>
      <c r="D184" s="21">
        <f t="shared" si="16"/>
        <v>-1559.07</v>
      </c>
      <c r="E184" s="26">
        <v>1559.07</v>
      </c>
      <c r="F184" s="91"/>
      <c r="G184" s="22">
        <v>0</v>
      </c>
      <c r="H184" s="21">
        <f t="shared" si="17"/>
        <v>-2500</v>
      </c>
      <c r="I184" s="26">
        <v>2500</v>
      </c>
      <c r="K184" s="22">
        <v>0</v>
      </c>
      <c r="L184" s="21">
        <f t="shared" si="18"/>
        <v>-2500</v>
      </c>
      <c r="M184" s="26">
        <v>2500</v>
      </c>
    </row>
    <row r="185" spans="1:13">
      <c r="A185" s="25" t="s">
        <v>305</v>
      </c>
      <c r="B185" s="20" t="s">
        <v>306</v>
      </c>
      <c r="C185" s="22">
        <v>0</v>
      </c>
      <c r="D185" s="21">
        <f t="shared" si="16"/>
        <v>-1469.62</v>
      </c>
      <c r="E185" s="26">
        <v>1469.62</v>
      </c>
      <c r="F185" s="91"/>
      <c r="G185" s="22">
        <v>0</v>
      </c>
      <c r="H185" s="21">
        <f t="shared" si="17"/>
        <v>-2500</v>
      </c>
      <c r="I185" s="26">
        <v>2500</v>
      </c>
      <c r="K185" s="22">
        <v>0</v>
      </c>
      <c r="L185" s="21">
        <f t="shared" si="18"/>
        <v>-2500</v>
      </c>
      <c r="M185" s="26">
        <v>2500</v>
      </c>
    </row>
    <row r="186" spans="1:13">
      <c r="A186" s="25" t="s">
        <v>307</v>
      </c>
      <c r="B186" s="20" t="s">
        <v>308</v>
      </c>
      <c r="C186" s="22">
        <v>0</v>
      </c>
      <c r="D186" s="21">
        <f t="shared" si="16"/>
        <v>-1411.67</v>
      </c>
      <c r="E186" s="26">
        <v>1411.67</v>
      </c>
      <c r="F186" s="91"/>
      <c r="G186" s="22">
        <v>0</v>
      </c>
      <c r="H186" s="21">
        <f t="shared" si="17"/>
        <v>-2500</v>
      </c>
      <c r="I186" s="26">
        <v>2500</v>
      </c>
      <c r="K186" s="22">
        <v>0</v>
      </c>
      <c r="L186" s="21">
        <f t="shared" si="18"/>
        <v>-2500</v>
      </c>
      <c r="M186" s="26">
        <v>2500</v>
      </c>
    </row>
    <row r="187" spans="1:13">
      <c r="A187" s="25" t="s">
        <v>309</v>
      </c>
      <c r="B187" s="20" t="s">
        <v>310</v>
      </c>
      <c r="C187" s="22">
        <v>0</v>
      </c>
      <c r="D187" s="21">
        <f t="shared" si="16"/>
        <v>-19.68</v>
      </c>
      <c r="E187" s="26">
        <v>19.68</v>
      </c>
      <c r="F187" s="91"/>
      <c r="G187" s="22">
        <v>0</v>
      </c>
      <c r="H187" s="21">
        <f t="shared" si="17"/>
        <v>-2500</v>
      </c>
      <c r="I187" s="26">
        <v>2500</v>
      </c>
      <c r="K187" s="22">
        <v>0</v>
      </c>
      <c r="L187" s="21">
        <f t="shared" si="18"/>
        <v>-2500</v>
      </c>
      <c r="M187" s="26">
        <v>2500</v>
      </c>
    </row>
    <row r="188" spans="1:13">
      <c r="A188" s="25" t="s">
        <v>420</v>
      </c>
      <c r="B188" s="20" t="s">
        <v>604</v>
      </c>
      <c r="C188" s="22">
        <v>0</v>
      </c>
      <c r="D188" s="21">
        <f t="shared" si="16"/>
        <v>-148.41</v>
      </c>
      <c r="E188" s="26">
        <v>148.41</v>
      </c>
      <c r="F188" s="91"/>
      <c r="G188" s="22">
        <v>0</v>
      </c>
      <c r="H188" s="21">
        <f t="shared" si="17"/>
        <v>-2500</v>
      </c>
      <c r="I188" s="26">
        <v>2500</v>
      </c>
      <c r="K188" s="22">
        <v>0</v>
      </c>
      <c r="L188" s="21">
        <f t="shared" si="18"/>
        <v>-2500</v>
      </c>
      <c r="M188" s="26">
        <v>2500</v>
      </c>
    </row>
    <row r="189" spans="1:13">
      <c r="A189" s="27" t="s">
        <v>311</v>
      </c>
      <c r="B189" s="24" t="s">
        <v>312</v>
      </c>
      <c r="C189" s="43">
        <f>SUM(C190:C191)</f>
        <v>1500</v>
      </c>
      <c r="D189" s="18">
        <f>SUM(D190:D191)</f>
        <v>-23442.71</v>
      </c>
      <c r="E189" s="43">
        <f>SUM(E190:E191)</f>
        <v>24942.71</v>
      </c>
      <c r="F189" s="64"/>
      <c r="G189" s="43">
        <f>SUM(G190:G191)</f>
        <v>0</v>
      </c>
      <c r="H189" s="18">
        <f>SUM(H190:H191)</f>
        <v>-50000</v>
      </c>
      <c r="I189" s="43">
        <f>SUM(I190:I191)</f>
        <v>50000</v>
      </c>
      <c r="K189" s="43">
        <f>SUM(K190:K191)</f>
        <v>0</v>
      </c>
      <c r="L189" s="18">
        <f>SUM(L190:L191)</f>
        <v>-50000</v>
      </c>
      <c r="M189" s="43">
        <f>SUM(M190:M191)</f>
        <v>50000</v>
      </c>
    </row>
    <row r="190" spans="1:13">
      <c r="A190" s="25" t="s">
        <v>313</v>
      </c>
      <c r="B190" s="20" t="s">
        <v>314</v>
      </c>
      <c r="C190" s="22">
        <v>1500</v>
      </c>
      <c r="D190" s="21">
        <f>-E190+C190</f>
        <v>-10859.53</v>
      </c>
      <c r="E190" s="26">
        <v>12359.53</v>
      </c>
      <c r="F190" s="91"/>
      <c r="G190" s="22">
        <v>0</v>
      </c>
      <c r="H190" s="21">
        <f>-I190+G190</f>
        <v>-30000</v>
      </c>
      <c r="I190" s="26">
        <v>30000</v>
      </c>
      <c r="K190" s="22">
        <v>0</v>
      </c>
      <c r="L190" s="21">
        <f>-M190+K190</f>
        <v>-30000</v>
      </c>
      <c r="M190" s="26">
        <v>30000</v>
      </c>
    </row>
    <row r="191" spans="1:13">
      <c r="A191" s="25" t="s">
        <v>315</v>
      </c>
      <c r="B191" s="20" t="s">
        <v>316</v>
      </c>
      <c r="C191" s="22">
        <v>0</v>
      </c>
      <c r="D191" s="21">
        <f>-E191+C191</f>
        <v>-12583.18</v>
      </c>
      <c r="E191" s="26">
        <v>12583.18</v>
      </c>
      <c r="F191" s="91"/>
      <c r="G191" s="22">
        <v>0</v>
      </c>
      <c r="H191" s="21">
        <f>-I191+G191</f>
        <v>-20000</v>
      </c>
      <c r="I191" s="26">
        <v>20000</v>
      </c>
      <c r="K191" s="22">
        <v>0</v>
      </c>
      <c r="L191" s="21">
        <f>-M191+K191</f>
        <v>-20000</v>
      </c>
      <c r="M191" s="26">
        <v>20000</v>
      </c>
    </row>
    <row r="192" spans="1:13" ht="21">
      <c r="A192" s="32" t="s">
        <v>317</v>
      </c>
      <c r="B192" s="33" t="s">
        <v>318</v>
      </c>
      <c r="C192" s="34">
        <f>C193</f>
        <v>0</v>
      </c>
      <c r="D192" s="35">
        <f>D193</f>
        <v>0</v>
      </c>
      <c r="E192" s="34">
        <f>E193</f>
        <v>0</v>
      </c>
      <c r="F192" s="64"/>
      <c r="G192" s="34">
        <f>G193</f>
        <v>0</v>
      </c>
      <c r="H192" s="35">
        <f>H193</f>
        <v>-3900</v>
      </c>
      <c r="I192" s="34">
        <f>I193</f>
        <v>3900</v>
      </c>
      <c r="K192" s="34">
        <f>K193</f>
        <v>0</v>
      </c>
      <c r="L192" s="35">
        <f>L193</f>
        <v>-3900</v>
      </c>
      <c r="M192" s="34">
        <f>M193</f>
        <v>3900</v>
      </c>
    </row>
    <row r="193" spans="1:13">
      <c r="A193" s="27" t="s">
        <v>319</v>
      </c>
      <c r="B193" s="16" t="s">
        <v>320</v>
      </c>
      <c r="C193" s="43">
        <f>SUM(C194:C196)</f>
        <v>0</v>
      </c>
      <c r="D193" s="18">
        <f>SUM(D194:D196)</f>
        <v>0</v>
      </c>
      <c r="E193" s="43">
        <f>SUM(E194:E196)</f>
        <v>0</v>
      </c>
      <c r="F193" s="64"/>
      <c r="G193" s="43">
        <f>SUM(G194:G196)</f>
        <v>0</v>
      </c>
      <c r="H193" s="18">
        <f>SUM(H194:H196)</f>
        <v>-3900</v>
      </c>
      <c r="I193" s="43">
        <f>SUM(I194:I196)</f>
        <v>3900</v>
      </c>
      <c r="K193" s="43">
        <f>SUM(K194:K196)</f>
        <v>0</v>
      </c>
      <c r="L193" s="18">
        <f>SUM(L194:L196)</f>
        <v>-3900</v>
      </c>
      <c r="M193" s="43">
        <f>SUM(M194:M196)</f>
        <v>3900</v>
      </c>
    </row>
    <row r="194" spans="1:13">
      <c r="A194" s="25" t="s">
        <v>321</v>
      </c>
      <c r="B194" s="20" t="s">
        <v>322</v>
      </c>
      <c r="C194" s="22">
        <v>0</v>
      </c>
      <c r="D194" s="21">
        <f>-E194+C194</f>
        <v>0</v>
      </c>
      <c r="E194" s="22">
        <v>0</v>
      </c>
      <c r="F194" s="91"/>
      <c r="G194" s="22">
        <v>0</v>
      </c>
      <c r="H194" s="21">
        <f>-I194+G194</f>
        <v>-1300</v>
      </c>
      <c r="I194" s="22">
        <v>1300</v>
      </c>
      <c r="K194" s="22">
        <v>0</v>
      </c>
      <c r="L194" s="21">
        <f>-M194+K194</f>
        <v>-1300</v>
      </c>
      <c r="M194" s="22">
        <v>1300</v>
      </c>
    </row>
    <row r="195" spans="1:13">
      <c r="A195" s="25" t="s">
        <v>323</v>
      </c>
      <c r="B195" s="20" t="s">
        <v>324</v>
      </c>
      <c r="C195" s="22">
        <v>0</v>
      </c>
      <c r="D195" s="21">
        <f>-E195+C195</f>
        <v>0</v>
      </c>
      <c r="E195" s="22">
        <v>0</v>
      </c>
      <c r="F195" s="91"/>
      <c r="G195" s="22">
        <v>0</v>
      </c>
      <c r="H195" s="21">
        <f>-I195+G195</f>
        <v>-1300</v>
      </c>
      <c r="I195" s="22">
        <v>1300</v>
      </c>
      <c r="K195" s="22">
        <v>0</v>
      </c>
      <c r="L195" s="21">
        <f>-M195+K195</f>
        <v>-1300</v>
      </c>
      <c r="M195" s="22">
        <v>1300</v>
      </c>
    </row>
    <row r="196" spans="1:13">
      <c r="A196" s="25" t="s">
        <v>325</v>
      </c>
      <c r="B196" s="20" t="s">
        <v>326</v>
      </c>
      <c r="C196" s="22">
        <v>0</v>
      </c>
      <c r="D196" s="21">
        <f>-E196+C196</f>
        <v>0</v>
      </c>
      <c r="E196" s="26">
        <v>0</v>
      </c>
      <c r="F196" s="91"/>
      <c r="G196" s="22">
        <v>0</v>
      </c>
      <c r="H196" s="21">
        <f>-I196+G196</f>
        <v>-1300</v>
      </c>
      <c r="I196" s="26">
        <v>1300</v>
      </c>
      <c r="K196" s="22">
        <v>0</v>
      </c>
      <c r="L196" s="21">
        <f>-M196+K196</f>
        <v>-1300</v>
      </c>
      <c r="M196" s="26">
        <v>1300</v>
      </c>
    </row>
    <row r="197" spans="1:13" ht="21">
      <c r="A197" s="58" t="s">
        <v>327</v>
      </c>
      <c r="B197" s="33" t="s">
        <v>328</v>
      </c>
      <c r="C197" s="88">
        <f t="shared" ref="C197:I198" si="19">SUM(C198)</f>
        <v>25</v>
      </c>
      <c r="D197" s="89">
        <f t="shared" si="19"/>
        <v>-45</v>
      </c>
      <c r="E197" s="90">
        <f t="shared" si="19"/>
        <v>70</v>
      </c>
      <c r="F197" s="64"/>
      <c r="G197" s="88">
        <f t="shared" si="19"/>
        <v>0</v>
      </c>
      <c r="H197" s="89">
        <f t="shared" si="19"/>
        <v>-5000</v>
      </c>
      <c r="I197" s="90">
        <f t="shared" si="19"/>
        <v>5000</v>
      </c>
      <c r="K197" s="88">
        <f t="shared" ref="K197:M198" si="20">SUM(K198)</f>
        <v>0</v>
      </c>
      <c r="L197" s="89">
        <f t="shared" si="20"/>
        <v>-5414.31</v>
      </c>
      <c r="M197" s="90">
        <f t="shared" si="20"/>
        <v>5414.31</v>
      </c>
    </row>
    <row r="198" spans="1:13">
      <c r="A198" s="27" t="s">
        <v>327</v>
      </c>
      <c r="B198" s="16" t="s">
        <v>328</v>
      </c>
      <c r="C198" s="43">
        <f t="shared" si="19"/>
        <v>25</v>
      </c>
      <c r="D198" s="18">
        <f t="shared" si="19"/>
        <v>-45</v>
      </c>
      <c r="E198" s="43">
        <f t="shared" si="19"/>
        <v>70</v>
      </c>
      <c r="F198" s="64"/>
      <c r="G198" s="43">
        <f t="shared" si="19"/>
        <v>0</v>
      </c>
      <c r="H198" s="18">
        <f t="shared" si="19"/>
        <v>-5000</v>
      </c>
      <c r="I198" s="43">
        <f t="shared" si="19"/>
        <v>5000</v>
      </c>
      <c r="K198" s="43">
        <f t="shared" si="20"/>
        <v>0</v>
      </c>
      <c r="L198" s="18">
        <f t="shared" si="20"/>
        <v>-5414.31</v>
      </c>
      <c r="M198" s="43">
        <f t="shared" si="20"/>
        <v>5414.31</v>
      </c>
    </row>
    <row r="199" spans="1:13">
      <c r="A199" s="25" t="s">
        <v>329</v>
      </c>
      <c r="B199" s="20" t="s">
        <v>328</v>
      </c>
      <c r="C199" s="26">
        <v>25</v>
      </c>
      <c r="D199" s="21">
        <f>-E199+C199</f>
        <v>-45</v>
      </c>
      <c r="E199" s="96">
        <v>70</v>
      </c>
      <c r="F199" s="91"/>
      <c r="G199" s="26">
        <v>0</v>
      </c>
      <c r="H199" s="21">
        <f>-I199+G199</f>
        <v>-5000</v>
      </c>
      <c r="I199" s="96">
        <v>5000</v>
      </c>
      <c r="K199" s="26">
        <v>0</v>
      </c>
      <c r="L199" s="21">
        <f>-M199+K199</f>
        <v>-5414.31</v>
      </c>
      <c r="M199" s="26">
        <v>5414.31</v>
      </c>
    </row>
    <row r="200" spans="1:13">
      <c r="E200" s="59"/>
      <c r="I200" s="59"/>
      <c r="M200" s="59"/>
    </row>
    <row r="201" spans="1:13">
      <c r="A201" s="4"/>
      <c r="B201" s="6" t="s">
        <v>330</v>
      </c>
      <c r="C201" s="60">
        <f>SUM(C197,C192,C147,C113,C102,C70,C62,C31,C7)</f>
        <v>2000748.21</v>
      </c>
      <c r="D201" s="61">
        <f>SUM(D197,D192,D147,D113,D102,D70,D62,D31,D7)</f>
        <v>236558.24999999997</v>
      </c>
      <c r="E201" s="62">
        <f>SUM(E197,E192,E147,E113,E102,E70,E62,E31,E7)</f>
        <v>1764189.9600000002</v>
      </c>
      <c r="G201" s="60">
        <f>SUM(G197,G192,G147,G113,G102,G70,G62,G31,G7)</f>
        <v>1629122.62</v>
      </c>
      <c r="H201" s="61">
        <f>SUM(H197,H192,H147,H113,H102,H70,H62,H31,H7)</f>
        <v>0</v>
      </c>
      <c r="I201" s="62">
        <f>SUM(I197,I192,I147,I113,I102,I70,I62,I31,I7)</f>
        <v>1629122.6199999999</v>
      </c>
      <c r="K201" s="60">
        <f>SUM(K197,K192,K147,K113,K102,K70,K62,K31,K7)</f>
        <v>1632872.76</v>
      </c>
      <c r="L201" s="61">
        <f>SUM(L197,L192,L147,L113,L102,L70,L62,L31,L7)</f>
        <v>8788.6200000001118</v>
      </c>
      <c r="M201" s="62">
        <f>SUM(M197,M192,M147,M113,M102,M70,M62,M31,M7)</f>
        <v>1624084.14</v>
      </c>
    </row>
  </sheetData>
  <mergeCells count="3">
    <mergeCell ref="C4:E4"/>
    <mergeCell ref="G4:I4"/>
    <mergeCell ref="K4:M4"/>
  </mergeCells>
  <pageMargins left="0.7" right="0.7" top="0.78740157499999996" bottom="0.78740157499999996" header="0.3" footer="0.3"/>
  <pageSetup paperSize="9" scale="7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pane ySplit="7" topLeftCell="A8" activePane="bottomLeft" state="frozen"/>
      <selection pane="bottomLeft" activeCell="C32" sqref="C32"/>
    </sheetView>
  </sheetViews>
  <sheetFormatPr baseColWidth="10" defaultColWidth="10.85546875" defaultRowHeight="15"/>
  <cols>
    <col min="1" max="1" width="13.5703125" customWidth="1"/>
    <col min="2" max="2" width="33.28515625" bestFit="1" customWidth="1"/>
    <col min="3" max="3" width="15.140625" bestFit="1" customWidth="1"/>
    <col min="4" max="4" width="13.85546875" bestFit="1" customWidth="1"/>
    <col min="5" max="5" width="14.140625" bestFit="1" customWidth="1"/>
    <col min="6" max="6" width="4.5703125" customWidth="1"/>
    <col min="7" max="7" width="15.140625" bestFit="1" customWidth="1"/>
    <col min="8" max="8" width="13.85546875" bestFit="1" customWidth="1"/>
    <col min="9" max="9" width="14.140625" bestFit="1" customWidth="1"/>
    <col min="10" max="10" width="4.5703125" customWidth="1"/>
    <col min="11" max="11" width="15.140625" bestFit="1" customWidth="1"/>
    <col min="12" max="12" width="13.85546875" bestFit="1" customWidth="1"/>
    <col min="13" max="13" width="14.140625" bestFit="1" customWidth="1"/>
    <col min="14" max="14" width="6.5703125" customWidth="1"/>
  </cols>
  <sheetData>
    <row r="1" spans="1:13" ht="23.25">
      <c r="A1" s="68" t="s">
        <v>337</v>
      </c>
      <c r="J1" s="64"/>
    </row>
    <row r="2" spans="1:13">
      <c r="A2" s="69" t="s">
        <v>600</v>
      </c>
      <c r="J2" s="64"/>
    </row>
    <row r="3" spans="1:13">
      <c r="A3" s="5"/>
      <c r="B3" s="2"/>
      <c r="C3" s="3" t="s">
        <v>0</v>
      </c>
      <c r="D3" s="4"/>
      <c r="E3" s="6" t="s">
        <v>1</v>
      </c>
      <c r="G3" s="3" t="s">
        <v>0</v>
      </c>
      <c r="H3" s="4"/>
      <c r="I3" s="6" t="s">
        <v>1</v>
      </c>
      <c r="J3" s="82"/>
      <c r="K3" s="3" t="s">
        <v>0</v>
      </c>
      <c r="L3" s="4"/>
      <c r="M3" s="6" t="s">
        <v>1</v>
      </c>
    </row>
    <row r="4" spans="1:13">
      <c r="A4" s="5"/>
      <c r="B4" s="2"/>
      <c r="C4" s="95">
        <v>36751</v>
      </c>
      <c r="D4" s="4"/>
      <c r="E4" s="87">
        <v>35404</v>
      </c>
      <c r="G4" s="95">
        <v>36500</v>
      </c>
      <c r="H4" s="4"/>
      <c r="I4" s="87">
        <v>34500</v>
      </c>
      <c r="K4" s="7">
        <v>35500</v>
      </c>
      <c r="L4" s="4"/>
      <c r="M4" s="87">
        <v>33500</v>
      </c>
    </row>
    <row r="5" spans="1:13" ht="21">
      <c r="A5" s="8"/>
      <c r="B5" s="8"/>
      <c r="C5" s="176" t="s">
        <v>915</v>
      </c>
      <c r="D5" s="176"/>
      <c r="E5" s="176"/>
      <c r="G5" s="176" t="s">
        <v>601</v>
      </c>
      <c r="H5" s="176"/>
      <c r="I5" s="176"/>
      <c r="K5" s="176" t="s">
        <v>602</v>
      </c>
      <c r="L5" s="176"/>
      <c r="M5" s="176"/>
    </row>
    <row r="6" spans="1:13" ht="21">
      <c r="A6" s="9" t="s">
        <v>2</v>
      </c>
      <c r="B6" s="10" t="s">
        <v>3</v>
      </c>
      <c r="C6" s="11" t="s">
        <v>4</v>
      </c>
      <c r="D6" s="12" t="s">
        <v>5</v>
      </c>
      <c r="E6" s="11" t="s">
        <v>6</v>
      </c>
      <c r="G6" s="11" t="s">
        <v>4</v>
      </c>
      <c r="H6" s="12" t="s">
        <v>5</v>
      </c>
      <c r="I6" s="11" t="s">
        <v>6</v>
      </c>
      <c r="K6" s="11" t="s">
        <v>4</v>
      </c>
      <c r="L6" s="12" t="s">
        <v>5</v>
      </c>
      <c r="M6" s="11" t="s">
        <v>6</v>
      </c>
    </row>
    <row r="7" spans="1:13">
      <c r="F7" s="64"/>
    </row>
    <row r="8" spans="1:13" ht="21">
      <c r="A8" s="32" t="s">
        <v>338</v>
      </c>
      <c r="B8" s="33" t="s">
        <v>339</v>
      </c>
      <c r="C8" s="34">
        <f>C9+C11+C17+C23</f>
        <v>19113613.300000001</v>
      </c>
      <c r="D8" s="42">
        <f>D9+D11+D17+D23</f>
        <v>1502865.4200000013</v>
      </c>
      <c r="E8" s="34">
        <f>E9+E11+E17+E23</f>
        <v>17610747.879999999</v>
      </c>
      <c r="F8" s="64"/>
      <c r="G8" s="34">
        <f>G9+G11+G17+G23</f>
        <v>14817561.4</v>
      </c>
      <c r="H8" s="42">
        <f>H9+H11+H17+H23</f>
        <v>-8.149072527885437E-10</v>
      </c>
      <c r="I8" s="34">
        <f>I9+I11+I17+I23</f>
        <v>14817561.4</v>
      </c>
      <c r="K8" s="34">
        <f>K9+K11+K17+K23</f>
        <v>14236207.58</v>
      </c>
      <c r="L8" s="42">
        <f>L9+L11+L17+L23</f>
        <v>-8.149072527885437E-10</v>
      </c>
      <c r="M8" s="34">
        <f>M9+M11+M17+M23</f>
        <v>14236207.580000002</v>
      </c>
    </row>
    <row r="9" spans="1:13">
      <c r="A9" s="15" t="s">
        <v>340</v>
      </c>
      <c r="B9" s="16" t="s">
        <v>341</v>
      </c>
      <c r="C9" s="17">
        <f>SUM(C10)</f>
        <v>607071.4</v>
      </c>
      <c r="D9" s="17">
        <f>SUM(D10)</f>
        <v>607071.4</v>
      </c>
      <c r="E9" s="17">
        <f>SUM(E10)</f>
        <v>0</v>
      </c>
      <c r="F9" s="64"/>
      <c r="G9" s="17">
        <f>SUM(G10)</f>
        <v>607071.4</v>
      </c>
      <c r="H9" s="17">
        <f>SUM(H10)</f>
        <v>607071.4</v>
      </c>
      <c r="I9" s="17">
        <f>SUM(I10)</f>
        <v>0</v>
      </c>
      <c r="K9" s="17">
        <f>SUM(K10)</f>
        <v>609127.57999999996</v>
      </c>
      <c r="L9" s="17">
        <f>SUM(L10)</f>
        <v>609127.57999999996</v>
      </c>
      <c r="M9" s="17">
        <f>SUM(M10)</f>
        <v>0</v>
      </c>
    </row>
    <row r="10" spans="1:13">
      <c r="A10" s="19" t="s">
        <v>342</v>
      </c>
      <c r="B10" s="20" t="s">
        <v>11</v>
      </c>
      <c r="C10" s="96">
        <v>607071.4</v>
      </c>
      <c r="D10" s="70">
        <f>-E10+C10</f>
        <v>607071.4</v>
      </c>
      <c r="E10" s="22">
        <v>0</v>
      </c>
      <c r="F10" s="91"/>
      <c r="G10" s="96">
        <v>607071.4</v>
      </c>
      <c r="H10" s="70">
        <f>-I10+G10</f>
        <v>607071.4</v>
      </c>
      <c r="I10" s="22">
        <v>0</v>
      </c>
      <c r="K10" s="26">
        <v>609127.57999999996</v>
      </c>
      <c r="L10" s="70">
        <f>-M10+K10</f>
        <v>609127.57999999996</v>
      </c>
      <c r="M10" s="22">
        <v>0</v>
      </c>
    </row>
    <row r="11" spans="1:13">
      <c r="A11" s="27" t="s">
        <v>343</v>
      </c>
      <c r="B11" s="16" t="s">
        <v>52</v>
      </c>
      <c r="C11" s="17">
        <f>SUM(C12:C16)</f>
        <v>7256851.2599999998</v>
      </c>
      <c r="D11" s="17">
        <f>SUM(D12:D16)</f>
        <v>-204196.20999999929</v>
      </c>
      <c r="E11" s="17">
        <f>SUM(E12:E16)</f>
        <v>7461047.4699999997</v>
      </c>
      <c r="F11" s="64"/>
      <c r="G11" s="17">
        <f>SUM(G12:G16)</f>
        <v>7176630</v>
      </c>
      <c r="H11" s="17">
        <f>SUM(H12:H16)</f>
        <v>-607071.40000000061</v>
      </c>
      <c r="I11" s="17">
        <f>SUM(I12:I16)</f>
        <v>7783701.4000000004</v>
      </c>
      <c r="K11" s="17">
        <f>SUM(K12:K16)</f>
        <v>6980010</v>
      </c>
      <c r="L11" s="17">
        <f>SUM(L12:L16)</f>
        <v>-609127.58000000077</v>
      </c>
      <c r="M11" s="17">
        <f>SUM(M12:M16)</f>
        <v>7589137.580000001</v>
      </c>
    </row>
    <row r="12" spans="1:13">
      <c r="A12" s="25" t="s">
        <v>344</v>
      </c>
      <c r="B12" s="20" t="s">
        <v>345</v>
      </c>
      <c r="C12" s="26">
        <v>2876400</v>
      </c>
      <c r="D12" s="70">
        <f t="shared" ref="D12:D16" si="0">-E12+C12</f>
        <v>2876400</v>
      </c>
      <c r="E12" s="22">
        <v>0</v>
      </c>
      <c r="F12" s="91"/>
      <c r="G12" s="26">
        <v>2876400</v>
      </c>
      <c r="H12" s="70">
        <f t="shared" ref="H12:H16" si="1">-I12+G12</f>
        <v>2876400</v>
      </c>
      <c r="I12" s="22">
        <v>0</v>
      </c>
      <c r="K12" s="26">
        <v>2876400</v>
      </c>
      <c r="L12" s="70">
        <f t="shared" ref="L12:L16" si="2">-M12+K12</f>
        <v>2876400</v>
      </c>
      <c r="M12" s="22">
        <v>0</v>
      </c>
    </row>
    <row r="13" spans="1:13">
      <c r="A13" s="25" t="s">
        <v>346</v>
      </c>
      <c r="B13" s="20" t="s">
        <v>347</v>
      </c>
      <c r="C13" s="26">
        <v>1056000</v>
      </c>
      <c r="D13" s="70">
        <f t="shared" si="0"/>
        <v>1056000</v>
      </c>
      <c r="E13" s="22">
        <v>0</v>
      </c>
      <c r="F13" s="91"/>
      <c r="G13" s="26">
        <v>1056000</v>
      </c>
      <c r="H13" s="70">
        <f t="shared" si="1"/>
        <v>1056000</v>
      </c>
      <c r="I13" s="22">
        <v>0</v>
      </c>
      <c r="K13" s="26">
        <v>1056000</v>
      </c>
      <c r="L13" s="70">
        <f t="shared" si="2"/>
        <v>1056000</v>
      </c>
      <c r="M13" s="22">
        <v>0</v>
      </c>
    </row>
    <row r="14" spans="1:13">
      <c r="A14" s="25" t="s">
        <v>348</v>
      </c>
      <c r="B14" s="37" t="s">
        <v>349</v>
      </c>
      <c r="C14" s="96">
        <v>2431564.7400000002</v>
      </c>
      <c r="D14" s="99">
        <f t="shared" si="0"/>
        <v>-2785658.6499999994</v>
      </c>
      <c r="E14" s="96">
        <v>5217223.3899999997</v>
      </c>
      <c r="F14" s="91"/>
      <c r="G14" s="96">
        <f>G4*143.82-G12</f>
        <v>2373030</v>
      </c>
      <c r="H14" s="99">
        <f t="shared" si="1"/>
        <v>-3298505.6288678674</v>
      </c>
      <c r="I14" s="96">
        <f>G10*(143.82/196.62)+G12+G14-I16*(143.82/196.62)</f>
        <v>5671535.6288678674</v>
      </c>
      <c r="K14" s="96">
        <f>K4*143.82-K12</f>
        <v>2229210</v>
      </c>
      <c r="L14" s="99">
        <f t="shared" si="2"/>
        <v>-3300009.6457918836</v>
      </c>
      <c r="M14" s="96">
        <f>K10*(143.82/196.62)+K12+K14-M16*(143.82/196.62)</f>
        <v>5529219.6457918836</v>
      </c>
    </row>
    <row r="15" spans="1:13">
      <c r="A15" s="25" t="s">
        <v>350</v>
      </c>
      <c r="B15" s="37" t="s">
        <v>351</v>
      </c>
      <c r="C15" s="96">
        <v>892689.6</v>
      </c>
      <c r="D15" s="99">
        <f t="shared" si="0"/>
        <v>-1312425.8399999999</v>
      </c>
      <c r="E15" s="96">
        <v>2205115.44</v>
      </c>
      <c r="F15" s="91"/>
      <c r="G15" s="96">
        <f>G4*52.8-G13</f>
        <v>871200</v>
      </c>
      <c r="H15" s="99">
        <f t="shared" si="1"/>
        <v>-1210965.7711321332</v>
      </c>
      <c r="I15" s="96">
        <f>G10*(52.8/196.62)+G13+G15-I16*(52.8/196.62)</f>
        <v>2082165.7711321332</v>
      </c>
      <c r="K15" s="96">
        <f>K4*52.8-K13</f>
        <v>818400</v>
      </c>
      <c r="L15" s="99">
        <f t="shared" si="2"/>
        <v>-1211517.9342081172</v>
      </c>
      <c r="M15" s="96">
        <f>K10*(52.8/196.62)+K13+K15-M16*(52.8/196.62)</f>
        <v>2029917.9342081172</v>
      </c>
    </row>
    <row r="16" spans="1:13">
      <c r="A16" s="25" t="s">
        <v>352</v>
      </c>
      <c r="B16" s="37" t="s">
        <v>353</v>
      </c>
      <c r="C16" s="38">
        <v>196.92</v>
      </c>
      <c r="D16" s="70">
        <f t="shared" si="0"/>
        <v>-38511.72</v>
      </c>
      <c r="E16" s="26">
        <v>38708.639999999999</v>
      </c>
      <c r="F16" s="91"/>
      <c r="G16" s="38">
        <v>0</v>
      </c>
      <c r="H16" s="70">
        <f t="shared" si="1"/>
        <v>-30000</v>
      </c>
      <c r="I16" s="26">
        <v>30000</v>
      </c>
      <c r="K16" s="98">
        <v>0</v>
      </c>
      <c r="L16" s="99">
        <f t="shared" si="2"/>
        <v>-30000</v>
      </c>
      <c r="M16" s="96">
        <v>30000</v>
      </c>
    </row>
    <row r="17" spans="1:13">
      <c r="A17" s="27" t="s">
        <v>354</v>
      </c>
      <c r="B17" s="24" t="s">
        <v>54</v>
      </c>
      <c r="C17" s="17">
        <f>SUM(C18:C22)</f>
        <v>7172090.6399999997</v>
      </c>
      <c r="D17" s="17">
        <f>SUM(D18:D22)</f>
        <v>-2977609.7699999996</v>
      </c>
      <c r="E17" s="17">
        <f>SUM(E18:E22)</f>
        <v>10149700.41</v>
      </c>
      <c r="F17" s="64"/>
      <c r="G17" s="17">
        <f>SUM(G18:G22)</f>
        <v>7033860</v>
      </c>
      <c r="H17" s="17">
        <f>SUM(H18:H22)</f>
        <v>-2.3283064365386963E-10</v>
      </c>
      <c r="I17" s="17">
        <f>SUM(I18:I22)</f>
        <v>7033860</v>
      </c>
      <c r="K17" s="17">
        <f>SUM(K18:K22)</f>
        <v>6647070</v>
      </c>
      <c r="L17" s="17">
        <f>SUM(L18:L22)</f>
        <v>0</v>
      </c>
      <c r="M17" s="17">
        <f>SUM(M18:M22)</f>
        <v>6647070</v>
      </c>
    </row>
    <row r="18" spans="1:13">
      <c r="A18" s="25" t="s">
        <v>355</v>
      </c>
      <c r="B18" s="37" t="s">
        <v>349</v>
      </c>
      <c r="C18" s="96">
        <v>5250924</v>
      </c>
      <c r="D18" s="99">
        <f>-E18+C18</f>
        <v>572437.65000000037</v>
      </c>
      <c r="E18" s="96">
        <v>4678486.3499999996</v>
      </c>
      <c r="F18" s="91"/>
      <c r="G18" s="96">
        <f>I4*149.28</f>
        <v>5150160</v>
      </c>
      <c r="H18" s="99">
        <f>-I18+G18</f>
        <v>21965.862271924503</v>
      </c>
      <c r="I18" s="96">
        <f>G18-I22*(149.28/203.88)</f>
        <v>5128194.1377280755</v>
      </c>
      <c r="K18" s="96">
        <f>M4*143.82</f>
        <v>4817970</v>
      </c>
      <c r="L18" s="99">
        <f>-M18+K18</f>
        <v>21744.783791956492</v>
      </c>
      <c r="M18" s="96">
        <f>K18-M22*(143.82/198.42)</f>
        <v>4796225.2162080435</v>
      </c>
    </row>
    <row r="19" spans="1:13">
      <c r="A19" s="25" t="s">
        <v>356</v>
      </c>
      <c r="B19" s="37" t="s">
        <v>351</v>
      </c>
      <c r="C19" s="96">
        <v>1920555</v>
      </c>
      <c r="D19" s="99">
        <f>-E19+C19</f>
        <v>553003.60000000009</v>
      </c>
      <c r="E19" s="96">
        <v>1367551.4</v>
      </c>
      <c r="F19" s="91"/>
      <c r="G19" s="96">
        <f>I4*54.6</f>
        <v>1883700</v>
      </c>
      <c r="H19" s="99">
        <f>-I19+G19</f>
        <v>8034.137728075264</v>
      </c>
      <c r="I19" s="96">
        <f>G19-I22*(54.6/203.88)</f>
        <v>1875665.8622719247</v>
      </c>
      <c r="K19" s="96">
        <f>M4*54.6</f>
        <v>1829100</v>
      </c>
      <c r="L19" s="99">
        <f>-M19+K19</f>
        <v>8255.2162080435082</v>
      </c>
      <c r="M19" s="96">
        <f>K19-M22*(54.6/198.42)</f>
        <v>1820844.7837919565</v>
      </c>
    </row>
    <row r="20" spans="1:13">
      <c r="A20" s="25" t="s">
        <v>357</v>
      </c>
      <c r="B20" s="37" t="s">
        <v>345</v>
      </c>
      <c r="C20" s="22">
        <v>0</v>
      </c>
      <c r="D20" s="70">
        <f>-E20+C20</f>
        <v>-2985600</v>
      </c>
      <c r="E20" s="22">
        <v>2985600</v>
      </c>
      <c r="F20" s="91"/>
      <c r="G20" s="22">
        <v>0</v>
      </c>
      <c r="H20" s="70">
        <f>-I20+G20</f>
        <v>0</v>
      </c>
      <c r="I20" s="22">
        <v>0</v>
      </c>
      <c r="K20" s="22">
        <v>0</v>
      </c>
      <c r="L20" s="70">
        <f>-M20+K20</f>
        <v>0</v>
      </c>
      <c r="M20" s="22">
        <v>0</v>
      </c>
    </row>
    <row r="21" spans="1:13">
      <c r="A21" s="25" t="s">
        <v>358</v>
      </c>
      <c r="B21" s="37" t="s">
        <v>347</v>
      </c>
      <c r="C21" s="22">
        <v>0</v>
      </c>
      <c r="D21" s="70">
        <f>-E21+C21</f>
        <v>-1092000</v>
      </c>
      <c r="E21" s="22">
        <v>1092000</v>
      </c>
      <c r="F21" s="91"/>
      <c r="G21" s="22">
        <v>0</v>
      </c>
      <c r="H21" s="70">
        <f>-I21+G21</f>
        <v>0</v>
      </c>
      <c r="I21" s="22">
        <v>0</v>
      </c>
      <c r="K21" s="22">
        <v>0</v>
      </c>
      <c r="L21" s="70">
        <f>-M21+K21</f>
        <v>0</v>
      </c>
      <c r="M21" s="22">
        <v>0</v>
      </c>
    </row>
    <row r="22" spans="1:13">
      <c r="A22" s="25" t="s">
        <v>359</v>
      </c>
      <c r="B22" s="20" t="s">
        <v>353</v>
      </c>
      <c r="C22" s="22">
        <v>611.64</v>
      </c>
      <c r="D22" s="70">
        <f>-E22+C22</f>
        <v>-25451.02</v>
      </c>
      <c r="E22" s="26">
        <v>26062.66</v>
      </c>
      <c r="F22" s="91"/>
      <c r="G22" s="22">
        <v>0</v>
      </c>
      <c r="H22" s="70">
        <f>-I22+G22</f>
        <v>-30000</v>
      </c>
      <c r="I22" s="26">
        <v>30000</v>
      </c>
      <c r="K22" s="22">
        <v>0</v>
      </c>
      <c r="L22" s="70">
        <f>-M22+K22</f>
        <v>-30000</v>
      </c>
      <c r="M22" s="26">
        <v>30000</v>
      </c>
    </row>
    <row r="23" spans="1:13">
      <c r="A23" s="27" t="s">
        <v>360</v>
      </c>
      <c r="B23" s="24" t="s">
        <v>56</v>
      </c>
      <c r="C23" s="17">
        <f>SUM(C24:C25)</f>
        <v>4077600</v>
      </c>
      <c r="D23" s="17">
        <f>SUM(D24:D25)</f>
        <v>4077600</v>
      </c>
      <c r="E23" s="17">
        <f>SUM(E24:E25)</f>
        <v>0</v>
      </c>
      <c r="F23" s="64"/>
      <c r="G23" s="17">
        <f>SUM(G24:G25)</f>
        <v>0</v>
      </c>
      <c r="H23" s="17">
        <f>SUM(H24:H25)</f>
        <v>0</v>
      </c>
      <c r="I23" s="17">
        <f>SUM(I24:I25)</f>
        <v>0</v>
      </c>
      <c r="K23" s="17">
        <f>SUM(K24:K25)</f>
        <v>0</v>
      </c>
      <c r="L23" s="17">
        <f>SUM(L24:L25)</f>
        <v>0</v>
      </c>
      <c r="M23" s="17">
        <f>SUM(M24:M25)</f>
        <v>0</v>
      </c>
    </row>
    <row r="24" spans="1:13">
      <c r="A24" s="25" t="s">
        <v>361</v>
      </c>
      <c r="B24" s="20" t="s">
        <v>362</v>
      </c>
      <c r="C24" s="22">
        <v>2985600</v>
      </c>
      <c r="D24" s="70">
        <f>-E24+C24</f>
        <v>2985600</v>
      </c>
      <c r="E24" s="22">
        <v>0</v>
      </c>
      <c r="F24" s="64"/>
      <c r="G24" s="22">
        <v>0</v>
      </c>
      <c r="H24" s="70">
        <f>-I24+G24</f>
        <v>0</v>
      </c>
      <c r="I24" s="22">
        <v>0</v>
      </c>
      <c r="K24" s="22">
        <v>0</v>
      </c>
      <c r="L24" s="70">
        <f>-M24+K24</f>
        <v>0</v>
      </c>
      <c r="M24" s="22">
        <v>0</v>
      </c>
    </row>
    <row r="25" spans="1:13">
      <c r="A25" s="25" t="s">
        <v>363</v>
      </c>
      <c r="B25" s="20" t="s">
        <v>364</v>
      </c>
      <c r="C25" s="22">
        <v>1092000</v>
      </c>
      <c r="D25" s="70">
        <f>-E25+C25</f>
        <v>1092000</v>
      </c>
      <c r="E25" s="22">
        <v>0</v>
      </c>
      <c r="F25" s="64"/>
      <c r="G25" s="22">
        <v>0</v>
      </c>
      <c r="H25" s="70">
        <f>-I25+G25</f>
        <v>0</v>
      </c>
      <c r="I25" s="22">
        <v>0</v>
      </c>
      <c r="K25" s="22">
        <v>0</v>
      </c>
      <c r="L25" s="70">
        <f>-M25+K25</f>
        <v>0</v>
      </c>
      <c r="M25" s="22">
        <v>0</v>
      </c>
    </row>
    <row r="26" spans="1:13">
      <c r="F26" s="64"/>
    </row>
    <row r="27" spans="1:13">
      <c r="A27" s="4"/>
      <c r="B27" s="6" t="s">
        <v>330</v>
      </c>
      <c r="C27" s="60">
        <f>SUM(C9,C11,C17,C23)</f>
        <v>19113613.300000001</v>
      </c>
      <c r="D27" s="60">
        <f>SUM(D9,D11,D17,D23)</f>
        <v>1502865.4200000013</v>
      </c>
      <c r="E27" s="60">
        <f>SUM(E9,E11,E17,E23)</f>
        <v>17610747.879999999</v>
      </c>
      <c r="F27" s="64"/>
      <c r="G27" s="60">
        <f>SUM(G9,G11,G17,G23)</f>
        <v>14817561.4</v>
      </c>
      <c r="H27" s="60">
        <f>SUM(H9,H11,H17,H23)</f>
        <v>-8.149072527885437E-10</v>
      </c>
      <c r="I27" s="60">
        <f>SUM(I9,I11,I17,I23)</f>
        <v>14817561.4</v>
      </c>
      <c r="K27" s="60">
        <f>SUM(K9,K11,K17,K23)</f>
        <v>14236207.58</v>
      </c>
      <c r="L27" s="60">
        <f>SUM(L9,L11,L17,L23)</f>
        <v>-8.149072527885437E-10</v>
      </c>
      <c r="M27" s="60">
        <f>SUM(M9,M11,M17,M23)</f>
        <v>14236207.580000002</v>
      </c>
    </row>
  </sheetData>
  <mergeCells count="3">
    <mergeCell ref="C5:E5"/>
    <mergeCell ref="G5:I5"/>
    <mergeCell ref="K5:M5"/>
  </mergeCells>
  <pageMargins left="0.7" right="0.7" top="0.78740157499999996" bottom="0.78740157499999996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Haushalt 2022</vt:lpstr>
      <vt:lpstr>Semesterticket 2022</vt:lpstr>
      <vt:lpstr>Vermögensübersicht ab Rumpf 19</vt:lpstr>
      <vt:lpstr>Vermögensübersicht</vt:lpstr>
      <vt:lpstr>Abrechnung Rumpf 19</vt:lpstr>
      <vt:lpstr>Semtick Rumpf 19</vt:lpstr>
      <vt:lpstr>Abrechnung 1819</vt:lpstr>
      <vt:lpstr>Semesterticket 1819</vt:lpstr>
    </vt:vector>
  </TitlesOfParts>
  <Company>AStA der HHU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cp:lastPrinted>2019-12-11T15:27:09Z</cp:lastPrinted>
  <dcterms:created xsi:type="dcterms:W3CDTF">2016-08-23T09:02:44Z</dcterms:created>
  <dcterms:modified xsi:type="dcterms:W3CDTF">2022-06-01T13:56:55Z</dcterms:modified>
</cp:coreProperties>
</file>